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O" sheetId="1" r:id="rId1"/>
    <sheet name="T" sheetId="2" r:id="rId2"/>
    <sheet name="C" sheetId="3" r:id="rId3"/>
  </sheets>
  <definedNames>
    <definedName name="solver_adj" localSheetId="2" hidden="1">'C'!$D$33</definedName>
    <definedName name="solver_adj" localSheetId="0" hidden="1">'IO'!#REF!</definedName>
    <definedName name="solver_cvg" localSheetId="2" hidden="1">0.001</definedName>
    <definedName name="solver_cvg" localSheetId="0" hidden="1">0.001</definedName>
    <definedName name="solver_drv" localSheetId="2" hidden="1">1</definedName>
    <definedName name="solver_drv" localSheetId="0" hidden="1">1</definedName>
    <definedName name="solver_est" localSheetId="2" hidden="1">1</definedName>
    <definedName name="solver_est" localSheetId="0" hidden="1">1</definedName>
    <definedName name="solver_itr" localSheetId="2" hidden="1">100</definedName>
    <definedName name="solver_itr" localSheetId="0" hidden="1">100</definedName>
    <definedName name="solver_lin" localSheetId="2" hidden="1">2</definedName>
    <definedName name="solver_lin" localSheetId="0" hidden="1">2</definedName>
    <definedName name="solver_neg" localSheetId="2" hidden="1">2</definedName>
    <definedName name="solver_neg" localSheetId="0" hidden="1">2</definedName>
    <definedName name="solver_num" localSheetId="2" hidden="1">0</definedName>
    <definedName name="solver_num" localSheetId="0" hidden="1">0</definedName>
    <definedName name="solver_nwt" localSheetId="2" hidden="1">1</definedName>
    <definedName name="solver_nwt" localSheetId="0" hidden="1">1</definedName>
    <definedName name="solver_opt" localSheetId="2" hidden="1">'C'!$E$33</definedName>
    <definedName name="solver_opt" localSheetId="0" hidden="1">'IO'!#REF!</definedName>
    <definedName name="solver_pre" localSheetId="2" hidden="1">0.000001</definedName>
    <definedName name="solver_pre" localSheetId="0" hidden="1">0.000001</definedName>
    <definedName name="solver_scl" localSheetId="2" hidden="1">2</definedName>
    <definedName name="solver_scl" localSheetId="0" hidden="1">2</definedName>
    <definedName name="solver_sho" localSheetId="2" hidden="1">2</definedName>
    <definedName name="solver_sho" localSheetId="0" hidden="1">2</definedName>
    <definedName name="solver_tim" localSheetId="2" hidden="1">100</definedName>
    <definedName name="solver_tim" localSheetId="0" hidden="1">100</definedName>
    <definedName name="solver_tol" localSheetId="2" hidden="1">0.05</definedName>
    <definedName name="solver_tol" localSheetId="0" hidden="1">0.05</definedName>
    <definedName name="solver_typ" localSheetId="2" hidden="1">3</definedName>
    <definedName name="solver_typ" localSheetId="0" hidden="1">3</definedName>
    <definedName name="solver_val" localSheetId="2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<sst xmlns="http://schemas.openxmlformats.org/spreadsheetml/2006/main" count="290" uniqueCount="150">
  <si>
    <t xml:space="preserve">Culvert Diameter = </t>
  </si>
  <si>
    <t>ft</t>
  </si>
  <si>
    <t>Culvert Manning's n =</t>
  </si>
  <si>
    <t xml:space="preserve">Culvert Length = </t>
  </si>
  <si>
    <t xml:space="preserve">Culvert Slope =  </t>
  </si>
  <si>
    <t>ft/ft</t>
  </si>
  <si>
    <t>C =</t>
  </si>
  <si>
    <t>Culvert</t>
  </si>
  <si>
    <t>Exit Channel</t>
  </si>
  <si>
    <t>Width =</t>
  </si>
  <si>
    <t>Manning's n =</t>
  </si>
  <si>
    <t>Channel Length =</t>
  </si>
  <si>
    <t>Channel Slope =</t>
  </si>
  <si>
    <t>mitered flush with sloping embankment</t>
  </si>
  <si>
    <t>Beveled Entrance w/D =</t>
  </si>
  <si>
    <t>Entrance Case =</t>
  </si>
  <si>
    <t>Figure 18, Using the average of the "supported jet" and "unsupported jet".</t>
  </si>
  <si>
    <r>
      <t>Q/D</t>
    </r>
    <r>
      <rPr>
        <vertAlign val="superscript"/>
        <sz val="10"/>
        <rFont val="Arial"/>
        <family val="2"/>
      </rPr>
      <t>5/2</t>
    </r>
  </si>
  <si>
    <r>
      <t>(ft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0"/>
      </rPr>
      <t>/sec)</t>
    </r>
  </si>
  <si>
    <t>h3/D</t>
  </si>
  <si>
    <t>Figure 20.</t>
  </si>
  <si>
    <t>(h1-z)/D</t>
  </si>
  <si>
    <t>C''</t>
  </si>
  <si>
    <t>Figure 21.</t>
  </si>
  <si>
    <t>r/D</t>
  </si>
  <si>
    <t>kr</t>
  </si>
  <si>
    <t>Figure 22.</t>
  </si>
  <si>
    <t>w/D</t>
  </si>
  <si>
    <t>kw(60)</t>
  </si>
  <si>
    <t>Page 42 - table not numbered.</t>
  </si>
  <si>
    <t>Lp/D</t>
  </si>
  <si>
    <t>kl</t>
  </si>
  <si>
    <t>Figure 25.</t>
  </si>
  <si>
    <t>Table 6.</t>
  </si>
  <si>
    <t>r/D or w/D</t>
  </si>
  <si>
    <t>slope</t>
  </si>
  <si>
    <t>intercept</t>
  </si>
  <si>
    <t>w/D =</t>
  </si>
  <si>
    <t>kl =</t>
  </si>
  <si>
    <t>Projected Length/Diameter =</t>
  </si>
  <si>
    <t>C</t>
  </si>
  <si>
    <t>C'</t>
  </si>
  <si>
    <t>Table 5</t>
  </si>
  <si>
    <t>Tail Water Depth =</t>
  </si>
  <si>
    <t>Dr. Joel Cahoon, Ph.D., P.E.</t>
  </si>
  <si>
    <t>Civil Engineering Department</t>
  </si>
  <si>
    <t>Montana State University</t>
  </si>
  <si>
    <t>Bozeman, MT  59717</t>
  </si>
  <si>
    <t>Based on:</t>
  </si>
  <si>
    <t>Bodhaine, G. L. 1968.  Measurement of peak discharge at</t>
  </si>
  <si>
    <t xml:space="preserve">Resources Investigations of the United States Geological </t>
  </si>
  <si>
    <t>Circular Culvert Design Spreadsheet</t>
  </si>
  <si>
    <r>
      <t xml:space="preserve">culverts by indirect methods.  In: </t>
    </r>
    <r>
      <rPr>
        <i/>
        <sz val="10"/>
        <rFont val="Arial"/>
        <family val="2"/>
      </rPr>
      <t>Techniques of Water</t>
    </r>
    <r>
      <rPr>
        <sz val="10"/>
        <rFont val="Arial"/>
        <family val="0"/>
      </rPr>
      <t xml:space="preserve"> </t>
    </r>
  </si>
  <si>
    <r>
      <t>Survey</t>
    </r>
    <r>
      <rPr>
        <sz val="10"/>
        <rFont val="Arial"/>
        <family val="0"/>
      </rPr>
      <t>.  Book 3, Chapter A3.  USGS.</t>
    </r>
  </si>
  <si>
    <t>Entrance Characteristics</t>
  </si>
  <si>
    <t>L/D =</t>
  </si>
  <si>
    <r>
      <t>ft</t>
    </r>
    <r>
      <rPr>
        <vertAlign val="superscript"/>
        <sz val="10"/>
        <color indexed="8"/>
        <rFont val="Arial"/>
        <family val="2"/>
      </rPr>
      <t>1/6</t>
    </r>
  </si>
  <si>
    <t>(ft)</t>
  </si>
  <si>
    <t>(cfs)</t>
  </si>
  <si>
    <t>Case 7</t>
  </si>
  <si>
    <t>m</t>
  </si>
  <si>
    <t>Q</t>
  </si>
  <si>
    <t>h1</t>
  </si>
  <si>
    <t>flush in a vertical wall or with wingwalls</t>
  </si>
  <si>
    <t>projecting into entrance channel</t>
  </si>
  <si>
    <t>yc</t>
  </si>
  <si>
    <t>Ac</t>
  </si>
  <si>
    <t>A1</t>
  </si>
  <si>
    <t>V1</t>
  </si>
  <si>
    <t>R1</t>
  </si>
  <si>
    <t>P1</t>
  </si>
  <si>
    <t>(h1 -z)/D</t>
  </si>
  <si>
    <t>Q r.h.s.</t>
  </si>
  <si>
    <t>C""</t>
  </si>
  <si>
    <t>Case 3/6</t>
  </si>
  <si>
    <t>C"</t>
  </si>
  <si>
    <t>Elevation of Culvert Invert =</t>
  </si>
  <si>
    <t>Elevation of Road Deck =</t>
  </si>
  <si>
    <r>
      <t>q</t>
    </r>
    <r>
      <rPr>
        <sz val="8"/>
        <rFont val="Arial"/>
        <family val="0"/>
      </rPr>
      <t>c</t>
    </r>
  </si>
  <si>
    <r>
      <t>V</t>
    </r>
    <r>
      <rPr>
        <vertAlign val="sub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/2g</t>
    </r>
  </si>
  <si>
    <r>
      <t>hf</t>
    </r>
    <r>
      <rPr>
        <vertAlign val="subscript"/>
        <sz val="8"/>
        <rFont val="Arial"/>
        <family val="2"/>
      </rPr>
      <t>1-2</t>
    </r>
  </si>
  <si>
    <t>Approx</t>
  </si>
  <si>
    <r>
      <t>q</t>
    </r>
    <r>
      <rPr>
        <sz val="8"/>
        <rFont val="Arial"/>
        <family val="0"/>
      </rPr>
      <t>2</t>
    </r>
  </si>
  <si>
    <t>A2</t>
  </si>
  <si>
    <t>V2</t>
  </si>
  <si>
    <t>h2</t>
  </si>
  <si>
    <t>Pc</t>
  </si>
  <si>
    <t>P2</t>
  </si>
  <si>
    <t>Kc</t>
  </si>
  <si>
    <t>K2</t>
  </si>
  <si>
    <t>hf2-3</t>
  </si>
  <si>
    <r>
      <t>hf</t>
    </r>
    <r>
      <rPr>
        <vertAlign val="subscript"/>
        <sz val="8"/>
        <rFont val="Arial"/>
        <family val="2"/>
      </rPr>
      <t>2-3</t>
    </r>
  </si>
  <si>
    <r>
      <t>q</t>
    </r>
    <r>
      <rPr>
        <sz val="8"/>
        <rFont val="Arial"/>
        <family val="0"/>
      </rPr>
      <t>3</t>
    </r>
  </si>
  <si>
    <t>A3</t>
  </si>
  <si>
    <t>P3</t>
  </si>
  <si>
    <t>K3</t>
  </si>
  <si>
    <t>y3</t>
  </si>
  <si>
    <t>kw =</t>
  </si>
  <si>
    <t>C"" =</t>
  </si>
  <si>
    <t>C" =</t>
  </si>
  <si>
    <t>P0 =</t>
  </si>
  <si>
    <t>R04/3 =</t>
  </si>
  <si>
    <t>h3</t>
  </si>
  <si>
    <t>R02/3 =</t>
  </si>
  <si>
    <t>A0 =</t>
  </si>
  <si>
    <t xml:space="preserve">Type </t>
  </si>
  <si>
    <t>of Flow</t>
  </si>
  <si>
    <t>Projected Culvert Length at Inlet =</t>
  </si>
  <si>
    <t>Summer 2000</t>
  </si>
  <si>
    <t>Sc</t>
  </si>
  <si>
    <t>Rc</t>
  </si>
  <si>
    <t>S0&gt;Sc?</t>
  </si>
  <si>
    <t>hc&gt;h4?</t>
  </si>
  <si>
    <t>S0&lt;Sc?</t>
  </si>
  <si>
    <t>h4/D&lt;1?</t>
  </si>
  <si>
    <t>h4/D&gt;1?</t>
  </si>
  <si>
    <t>Fiigure 16</t>
  </si>
  <si>
    <r>
      <t>K = 29n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(h1-z)R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>-4/3</t>
    </r>
  </si>
  <si>
    <t>So*</t>
  </si>
  <si>
    <t>L/D</t>
  </si>
  <si>
    <t>K = 0.25</t>
  </si>
  <si>
    <t>K = 0.2</t>
  </si>
  <si>
    <t>K = 0.15</t>
  </si>
  <si>
    <t>K = 0.1</t>
  </si>
  <si>
    <t>K = 0.3</t>
  </si>
  <si>
    <t xml:space="preserve">   So*</t>
  </si>
  <si>
    <t>K</t>
  </si>
  <si>
    <t>Column</t>
  </si>
  <si>
    <r>
      <t>S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>&gt;S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>*?</t>
    </r>
  </si>
  <si>
    <t>h4/hc&gt;1?</t>
  </si>
  <si>
    <t>is h3&gt;z?</t>
  </si>
  <si>
    <t>chk prd</t>
  </si>
  <si>
    <r>
      <t>S</t>
    </r>
    <r>
      <rPr>
        <vertAlign val="subscript"/>
        <sz val="8"/>
        <rFont val="Arial"/>
        <family val="2"/>
      </rPr>
      <t>0&lt;</t>
    </r>
    <r>
      <rPr>
        <sz val="8"/>
        <rFont val="Arial"/>
        <family val="2"/>
      </rPr>
      <t>S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>*?</t>
    </r>
  </si>
  <si>
    <t>flow type</t>
  </si>
  <si>
    <t>chk prod</t>
  </si>
  <si>
    <t>h4&gt;h1?</t>
  </si>
  <si>
    <t>MaxQ</t>
  </si>
  <si>
    <t>Limitations:</t>
  </si>
  <si>
    <t>2. Corrugated metal pipe only.</t>
  </si>
  <si>
    <t>1. Circular culverts only.</t>
  </si>
  <si>
    <t>3. Single barrel only.</t>
  </si>
  <si>
    <t>4. No adverse slopes.</t>
  </si>
  <si>
    <t>5.</t>
  </si>
  <si>
    <t>6.</t>
  </si>
  <si>
    <r>
      <t xml:space="preserve">Case </t>
    </r>
    <r>
      <rPr>
        <b/>
        <sz val="10"/>
        <color indexed="8"/>
        <rFont val="Arial"/>
        <family val="2"/>
      </rPr>
      <t>3</t>
    </r>
    <r>
      <rPr>
        <sz val="10"/>
        <color indexed="8"/>
        <rFont val="Arial"/>
        <family val="0"/>
      </rPr>
      <t xml:space="preserve"> -</t>
    </r>
  </si>
  <si>
    <r>
      <t xml:space="preserve">Case </t>
    </r>
    <r>
      <rPr>
        <b/>
        <sz val="10"/>
        <color indexed="8"/>
        <rFont val="Arial"/>
        <family val="2"/>
      </rPr>
      <t>6</t>
    </r>
    <r>
      <rPr>
        <sz val="10"/>
        <color indexed="8"/>
        <rFont val="Arial"/>
        <family val="0"/>
      </rPr>
      <t xml:space="preserve"> -</t>
    </r>
  </si>
  <si>
    <r>
      <t xml:space="preserve">Case </t>
    </r>
    <r>
      <rPr>
        <b/>
        <sz val="10"/>
        <color indexed="8"/>
        <rFont val="Arial"/>
        <family val="2"/>
      </rPr>
      <t>7</t>
    </r>
    <r>
      <rPr>
        <sz val="10"/>
        <color indexed="8"/>
        <rFont val="Arial"/>
        <family val="0"/>
      </rPr>
      <t xml:space="preserve"> -</t>
    </r>
  </si>
  <si>
    <t>Trapezoidal Entrance Channel</t>
  </si>
  <si>
    <t>Side Slope (H/V) =</t>
  </si>
  <si>
    <t>h1-z/D&gt;1.5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</si>
</sst>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_(* #,##0.000_);_(* \(#,##0.00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"/>
  </numFmts>
  <fonts count="28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.75"/>
      <name val="Arial"/>
      <family val="2"/>
    </font>
    <font>
      <vertAlign val="superscript"/>
      <sz val="9.75"/>
      <name val="Arial"/>
      <family val="2"/>
    </font>
    <font>
      <sz val="8.5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vertAlign val="superscript"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14"/>
      <name val="Arial"/>
      <family val="2"/>
    </font>
    <font>
      <sz val="8"/>
      <name val="Symbol"/>
      <family val="1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4" xfId="0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167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3" xfId="0" applyFont="1" applyBorder="1" applyAlignment="1">
      <alignment/>
    </xf>
    <xf numFmtId="1" fontId="0" fillId="0" borderId="0" xfId="0" applyNumberFormat="1" applyAlignment="1">
      <alignment/>
    </xf>
    <xf numFmtId="0" fontId="10" fillId="0" borderId="9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" xfId="0" applyFont="1" applyBorder="1" applyAlignment="1">
      <alignment/>
    </xf>
    <xf numFmtId="167" fontId="11" fillId="0" borderId="0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5" xfId="0" applyFont="1" applyBorder="1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  <xf numFmtId="0" fontId="13" fillId="0" borderId="3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8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2" fontId="14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2" fontId="14" fillId="0" borderId="0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/>
    </xf>
    <xf numFmtId="166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167" fontId="15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2" fontId="14" fillId="0" borderId="0" xfId="0" applyNumberFormat="1" applyFont="1" applyAlignment="1">
      <alignment/>
    </xf>
    <xf numFmtId="0" fontId="14" fillId="0" borderId="8" xfId="0" applyFont="1" applyBorder="1" applyAlignment="1">
      <alignment horizontal="right"/>
    </xf>
    <xf numFmtId="167" fontId="0" fillId="0" borderId="5" xfId="0" applyNumberFormat="1" applyBorder="1" applyAlignment="1">
      <alignment/>
    </xf>
    <xf numFmtId="0" fontId="0" fillId="0" borderId="0" xfId="0" applyFont="1" applyAlignment="1">
      <alignment/>
    </xf>
    <xf numFmtId="0" fontId="19" fillId="0" borderId="8" xfId="0" applyFont="1" applyBorder="1" applyAlignment="1">
      <alignment horizontal="right"/>
    </xf>
    <xf numFmtId="167" fontId="19" fillId="0" borderId="0" xfId="0" applyNumberFormat="1" applyFont="1" applyBorder="1" applyAlignment="1">
      <alignment horizontal="right"/>
    </xf>
    <xf numFmtId="0" fontId="11" fillId="0" borderId="6" xfId="0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2" fontId="14" fillId="0" borderId="0" xfId="0" applyNumberFormat="1" applyFont="1" applyAlignment="1">
      <alignment horizontal="right"/>
    </xf>
    <xf numFmtId="0" fontId="14" fillId="0" borderId="8" xfId="0" applyFont="1" applyBorder="1" applyAlignment="1">
      <alignment/>
    </xf>
    <xf numFmtId="167" fontId="1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horizontal="right"/>
    </xf>
    <xf numFmtId="164" fontId="0" fillId="0" borderId="4" xfId="0" applyNumberFormat="1" applyBorder="1" applyAlignment="1">
      <alignment/>
    </xf>
    <xf numFmtId="164" fontId="0" fillId="0" borderId="4" xfId="0" applyNumberFormat="1" applyBorder="1" applyAlignment="1">
      <alignment horizontal="right"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5" xfId="0" applyNumberFormat="1" applyBorder="1" applyAlignment="1">
      <alignment/>
    </xf>
    <xf numFmtId="166" fontId="14" fillId="0" borderId="0" xfId="0" applyNumberFormat="1" applyFont="1" applyBorder="1" applyAlignment="1">
      <alignment horizontal="left"/>
    </xf>
    <xf numFmtId="0" fontId="20" fillId="0" borderId="1" xfId="0" applyFont="1" applyBorder="1" applyAlignment="1">
      <alignment/>
    </xf>
    <xf numFmtId="167" fontId="15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2" fillId="0" borderId="0" xfId="0" applyFont="1" applyAlignment="1">
      <alignment/>
    </xf>
    <xf numFmtId="2" fontId="19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15" fillId="0" borderId="0" xfId="0" applyNumberFormat="1" applyFont="1" applyBorder="1" applyAlignment="1">
      <alignment/>
    </xf>
    <xf numFmtId="0" fontId="14" fillId="0" borderId="8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67" fontId="0" fillId="0" borderId="4" xfId="0" applyNumberFormat="1" applyBorder="1" applyAlignment="1">
      <alignment horizontal="right"/>
    </xf>
    <xf numFmtId="167" fontId="0" fillId="0" borderId="4" xfId="0" applyNumberForma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167" fontId="0" fillId="0" borderId="7" xfId="0" applyNumberForma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67" fontId="24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0" xfId="0" applyFont="1" applyAlignment="1">
      <alignment/>
    </xf>
    <xf numFmtId="167" fontId="20" fillId="0" borderId="0" xfId="0" applyNumberFormat="1" applyFont="1" applyAlignment="1">
      <alignment/>
    </xf>
    <xf numFmtId="0" fontId="25" fillId="0" borderId="9" xfId="0" applyFont="1" applyBorder="1" applyAlignment="1">
      <alignment/>
    </xf>
    <xf numFmtId="0" fontId="9" fillId="0" borderId="5" xfId="0" applyFont="1" applyBorder="1" applyAlignment="1">
      <alignment/>
    </xf>
    <xf numFmtId="0" fontId="26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9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67" fontId="0" fillId="0" borderId="4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7" xfId="0" applyNumberFormat="1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167" fontId="4" fillId="0" borderId="18" xfId="0" applyNumberFormat="1" applyFont="1" applyBorder="1" applyAlignment="1" applyProtection="1">
      <alignment/>
      <protection locked="0"/>
    </xf>
    <xf numFmtId="166" fontId="4" fillId="0" borderId="18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164" fontId="11" fillId="0" borderId="0" xfId="0" applyNumberFormat="1" applyFont="1" applyBorder="1" applyAlignment="1" applyProtection="1">
      <alignment/>
      <protection locked="0"/>
    </xf>
    <xf numFmtId="166" fontId="11" fillId="0" borderId="0" xfId="0" applyNumberFormat="1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/>
      <protection locked="0"/>
    </xf>
    <xf numFmtId="167" fontId="14" fillId="0" borderId="0" xfId="0" applyNumberFormat="1" applyFont="1" applyBorder="1" applyAlignment="1">
      <alignment horizontal="right"/>
    </xf>
    <xf numFmtId="0" fontId="27" fillId="0" borderId="8" xfId="0" applyFont="1" applyBorder="1" applyAlignment="1">
      <alignment horizontal="right"/>
    </xf>
    <xf numFmtId="165" fontId="14" fillId="0" borderId="0" xfId="0" applyNumberFormat="1" applyFont="1" applyAlignment="1">
      <alignment/>
    </xf>
    <xf numFmtId="165" fontId="1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Rating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765"/>
          <c:w val="0.8915"/>
          <c:h val="0.82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'IO'!$E$22:$E$29</c:f>
              <c:numCache/>
            </c:numRef>
          </c:xVal>
          <c:yVal>
            <c:numRef>
              <c:f>'IO'!$F$22:$F$29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'IO'!$L$2</c:f>
              <c:numCache/>
            </c:numRef>
          </c:xVal>
          <c:yVal>
            <c:numRef>
              <c:f>'IO'!$K$2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'IO'!$S$21:$S$22</c:f>
              <c:numCache/>
            </c:numRef>
          </c:xVal>
          <c:yVal>
            <c:numRef>
              <c:f>'IO'!$T$21:$T$22</c:f>
              <c:numCache/>
            </c:numRef>
          </c:yVal>
          <c:smooth val="0"/>
        </c:ser>
        <c:axId val="31369591"/>
        <c:axId val="13890864"/>
      </c:scatterChart>
      <c:valAx>
        <c:axId val="31369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Inlet Head, h1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890864"/>
        <c:crosses val="autoZero"/>
        <c:crossBetween val="midCat"/>
        <c:dispUnits/>
      </c:valAx>
      <c:valAx>
        <c:axId val="13890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Flow Rate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13695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T!$B$172:$B$182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T!$C$172:$C$182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T!$B$172:$B$182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T!$D$172:$D$182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T!$B$172:$B$182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T!$E$172:$E$182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T!$B$172:$B$182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T!$F$172:$F$182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T!$B$172:$B$182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T!$G$172:$G$182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11771137"/>
        <c:axId val="38831370"/>
      </c:scatterChart>
      <c:valAx>
        <c:axId val="11771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831370"/>
        <c:crosses val="autoZero"/>
        <c:crossBetween val="midCat"/>
        <c:dispUnits/>
      </c:valAx>
      <c:valAx>
        <c:axId val="38831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17711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'IO'!$M$42:$M$46</c:f>
              <c:numCache/>
            </c:numRef>
          </c:xVal>
          <c:yVal>
            <c:numRef>
              <c:f>'IO'!$N$42:$N$46</c:f>
              <c:numCache/>
            </c:numRef>
          </c:yVal>
          <c:smooth val="0"/>
        </c:ser>
        <c:ser>
          <c:idx val="2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'IO'!$M$47:$M$48</c:f>
              <c:numCache/>
            </c:numRef>
          </c:xVal>
          <c:yVal>
            <c:numRef>
              <c:f>'IO'!$N$47:$N$48</c:f>
              <c:numCache/>
            </c:numRef>
          </c:yVal>
          <c:smooth val="0"/>
        </c:ser>
        <c:ser>
          <c:idx val="1"/>
          <c:order val="2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'IO'!$M$49:$M$52</c:f>
              <c:numCache/>
            </c:numRef>
          </c:xVal>
          <c:yVal>
            <c:numRef>
              <c:f>'IO'!$N$49:$N$52</c:f>
              <c:numCache/>
            </c:numRef>
          </c:yVal>
          <c:smooth val="0"/>
        </c:ser>
        <c:axId val="57908913"/>
        <c:axId val="51418170"/>
      </c:scatterChart>
      <c:valAx>
        <c:axId val="57908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Position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418170"/>
        <c:crosses val="autoZero"/>
        <c:crossBetween val="midCat"/>
        <c:dispUnits/>
      </c:valAx>
      <c:valAx>
        <c:axId val="51418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9089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Figure 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885"/>
          <c:w val="0.90875"/>
          <c:h val="0.7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T!$B$9:$B$18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T!$C$9:$C$18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60110347"/>
        <c:axId val="4122212"/>
      </c:scatterChart>
      <c:valAx>
        <c:axId val="60110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Q/D</a:t>
                </a:r>
                <a:r>
                  <a:rPr lang="en-US" cap="none" sz="1000" b="0" i="0" u="none" baseline="30000">
                    <a:latin typeface="Arial"/>
                    <a:ea typeface="Arial"/>
                    <a:cs typeface="Arial"/>
                  </a:rPr>
                  <a:t>5/2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2212"/>
        <c:crosses val="autoZero"/>
        <c:crossBetween val="midCat"/>
        <c:dispUnits/>
      </c:valAx>
      <c:valAx>
        <c:axId val="4122212"/>
        <c:scaling>
          <c:orientation val="minMax"/>
          <c:max val="0.9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h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1034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Figure 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9"/>
          <c:w val="0.90825"/>
          <c:h val="0.7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T!$B$28:$B$33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T!$C$28:$C$33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7099909"/>
        <c:axId val="65463726"/>
      </c:scatterChart>
      <c:valAx>
        <c:axId val="37099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(h1-z)/D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63726"/>
        <c:crosses val="autoZero"/>
        <c:crossBetween val="midCat"/>
        <c:dispUnits/>
      </c:valAx>
      <c:valAx>
        <c:axId val="65463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C''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999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Figure 21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T!$B$47:$B$54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T!$C$47:$C$54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2302623"/>
        <c:axId val="961560"/>
      </c:scatterChart>
      <c:valAx>
        <c:axId val="52302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560"/>
        <c:crosses val="autoZero"/>
        <c:crossBetween val="midCat"/>
        <c:dispUnits/>
      </c:valAx>
      <c:valAx>
        <c:axId val="961560"/>
        <c:scaling>
          <c:orientation val="minMax"/>
          <c:max val="1.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23026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Figure 22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625"/>
          <c:w val="0.908"/>
          <c:h val="0.7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T!$B$67:$B$72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T!$C$67:$C$72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8654041"/>
        <c:axId val="10777506"/>
      </c:scatterChart>
      <c:valAx>
        <c:axId val="8654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77506"/>
        <c:crosses val="autoZero"/>
        <c:crossBetween val="midCat"/>
        <c:dispUnits/>
      </c:valAx>
      <c:valAx>
        <c:axId val="10777506"/>
        <c:scaling>
          <c:orientation val="minMax"/>
          <c:max val="1.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8654041"/>
        <c:crosses val="autoZero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Page 42 - not numbered.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9475"/>
          <c:w val="0.908"/>
          <c:h val="0.7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T!$B$91:$B$109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T!$C$91:$C$109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29888691"/>
        <c:axId val="562764"/>
      </c:scatterChart>
      <c:valAx>
        <c:axId val="2988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Lp/D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62764"/>
        <c:crosses val="autoZero"/>
        <c:crossBetween val="midCat"/>
        <c:dispUnits/>
      </c:valAx>
      <c:valAx>
        <c:axId val="562764"/>
        <c:scaling>
          <c:orientation val="minMax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kl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9888691"/>
        <c:crosses val="autoZero"/>
        <c:crossBetween val="midCat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Figure 25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9475"/>
          <c:w val="0.908"/>
          <c:h val="0.77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T!$B$117:$B$122</c:f>
              <c:numCache/>
            </c:numRef>
          </c:xVal>
          <c:yVal>
            <c:numRef>
              <c:f>T!$C$117:$C$122</c:f>
              <c:numCache/>
            </c:numRef>
          </c:yVal>
          <c:smooth val="0"/>
        </c:ser>
        <c:axId val="5064877"/>
        <c:axId val="45583894"/>
      </c:scatterChart>
      <c:valAx>
        <c:axId val="5064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(h1-z)/D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83894"/>
        <c:crosses val="autoZero"/>
        <c:crossBetween val="midCat"/>
        <c:dispUnits/>
      </c:valAx>
      <c:valAx>
        <c:axId val="45583894"/>
        <c:scaling>
          <c:orientation val="minMax"/>
          <c:max val="1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C''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487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Table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675"/>
          <c:w val="0.9005"/>
          <c:h val="0.8167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T!$B$137:$B$148</c:f>
              <c:numCache/>
            </c:numRef>
          </c:xVal>
          <c:yVal>
            <c:numRef>
              <c:f>T!$D$137:$D$148</c:f>
              <c:numCache/>
            </c:numRef>
          </c:yVal>
          <c:smooth val="0"/>
        </c:ser>
        <c:axId val="7601863"/>
        <c:axId val="1307904"/>
      </c:scatterChart>
      <c:valAx>
        <c:axId val="7601863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(h1-z)/D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7904"/>
        <c:crosses val="autoZero"/>
        <c:crossBetween val="midCat"/>
        <c:dispUnits/>
      </c:valAx>
      <c:valAx>
        <c:axId val="1307904"/>
        <c:scaling>
          <c:orientation val="minMax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C''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01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18</xdr:row>
      <xdr:rowOff>76200</xdr:rowOff>
    </xdr:from>
    <xdr:to>
      <xdr:col>16</xdr:col>
      <xdr:colOff>581025</xdr:colOff>
      <xdr:row>37</xdr:row>
      <xdr:rowOff>19050</xdr:rowOff>
    </xdr:to>
    <xdr:graphicFrame>
      <xdr:nvGraphicFramePr>
        <xdr:cNvPr id="1" name="Chart 632"/>
        <xdr:cNvGraphicFramePr/>
      </xdr:nvGraphicFramePr>
      <xdr:xfrm>
        <a:off x="3714750" y="3105150"/>
        <a:ext cx="62579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104775</xdr:colOff>
      <xdr:row>19</xdr:row>
      <xdr:rowOff>85725</xdr:rowOff>
    </xdr:from>
    <xdr:to>
      <xdr:col>2</xdr:col>
      <xdr:colOff>400050</xdr:colOff>
      <xdr:row>21</xdr:row>
      <xdr:rowOff>66675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286125"/>
          <a:ext cx="904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37</xdr:row>
      <xdr:rowOff>133350</xdr:rowOff>
    </xdr:from>
    <xdr:to>
      <xdr:col>16</xdr:col>
      <xdr:colOff>600075</xdr:colOff>
      <xdr:row>52</xdr:row>
      <xdr:rowOff>38100</xdr:rowOff>
    </xdr:to>
    <xdr:graphicFrame>
      <xdr:nvGraphicFramePr>
        <xdr:cNvPr id="3" name="Chart 635"/>
        <xdr:cNvGraphicFramePr/>
      </xdr:nvGraphicFramePr>
      <xdr:xfrm>
        <a:off x="3724275" y="6267450"/>
        <a:ext cx="626745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9525</xdr:rowOff>
    </xdr:from>
    <xdr:to>
      <xdr:col>15</xdr:col>
      <xdr:colOff>409575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57700" y="504825"/>
        <a:ext cx="46767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23</xdr:row>
      <xdr:rowOff>47625</xdr:rowOff>
    </xdr:from>
    <xdr:to>
      <xdr:col>15</xdr:col>
      <xdr:colOff>409575</xdr:colOff>
      <xdr:row>39</xdr:row>
      <xdr:rowOff>76200</xdr:rowOff>
    </xdr:to>
    <xdr:graphicFrame>
      <xdr:nvGraphicFramePr>
        <xdr:cNvPr id="2" name="Chart 2"/>
        <xdr:cNvGraphicFramePr/>
      </xdr:nvGraphicFramePr>
      <xdr:xfrm>
        <a:off x="4457700" y="3848100"/>
        <a:ext cx="46767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42</xdr:row>
      <xdr:rowOff>85725</xdr:rowOff>
    </xdr:from>
    <xdr:to>
      <xdr:col>15</xdr:col>
      <xdr:colOff>409575</xdr:colOff>
      <xdr:row>58</xdr:row>
      <xdr:rowOff>114300</xdr:rowOff>
    </xdr:to>
    <xdr:graphicFrame>
      <xdr:nvGraphicFramePr>
        <xdr:cNvPr id="3" name="Chart 3"/>
        <xdr:cNvGraphicFramePr/>
      </xdr:nvGraphicFramePr>
      <xdr:xfrm>
        <a:off x="4457700" y="6991350"/>
        <a:ext cx="467677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266700</xdr:colOff>
      <xdr:row>64</xdr:row>
      <xdr:rowOff>0</xdr:rowOff>
    </xdr:from>
    <xdr:to>
      <xdr:col>13</xdr:col>
      <xdr:colOff>66675</xdr:colOff>
      <xdr:row>80</xdr:row>
      <xdr:rowOff>19050</xdr:rowOff>
    </xdr:to>
    <xdr:graphicFrame>
      <xdr:nvGraphicFramePr>
        <xdr:cNvPr id="4" name="Chart 4"/>
        <xdr:cNvGraphicFramePr/>
      </xdr:nvGraphicFramePr>
      <xdr:xfrm>
        <a:off x="2895600" y="10496550"/>
        <a:ext cx="46767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361950</xdr:colOff>
      <xdr:row>87</xdr:row>
      <xdr:rowOff>161925</xdr:rowOff>
    </xdr:from>
    <xdr:to>
      <xdr:col>15</xdr:col>
      <xdr:colOff>161925</xdr:colOff>
      <xdr:row>104</xdr:row>
      <xdr:rowOff>19050</xdr:rowOff>
    </xdr:to>
    <xdr:graphicFrame>
      <xdr:nvGraphicFramePr>
        <xdr:cNvPr id="5" name="Chart 5"/>
        <xdr:cNvGraphicFramePr/>
      </xdr:nvGraphicFramePr>
      <xdr:xfrm>
        <a:off x="4210050" y="14411325"/>
        <a:ext cx="46767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276225</xdr:colOff>
      <xdr:row>112</xdr:row>
      <xdr:rowOff>19050</xdr:rowOff>
    </xdr:from>
    <xdr:to>
      <xdr:col>15</xdr:col>
      <xdr:colOff>76200</xdr:colOff>
      <xdr:row>128</xdr:row>
      <xdr:rowOff>47625</xdr:rowOff>
    </xdr:to>
    <xdr:graphicFrame>
      <xdr:nvGraphicFramePr>
        <xdr:cNvPr id="6" name="Chart 6"/>
        <xdr:cNvGraphicFramePr/>
      </xdr:nvGraphicFramePr>
      <xdr:xfrm>
        <a:off x="4124325" y="18345150"/>
        <a:ext cx="4676775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495300</xdr:colOff>
      <xdr:row>132</xdr:row>
      <xdr:rowOff>38100</xdr:rowOff>
    </xdr:from>
    <xdr:to>
      <xdr:col>12</xdr:col>
      <xdr:colOff>161925</xdr:colOff>
      <xdr:row>148</xdr:row>
      <xdr:rowOff>66675</xdr:rowOff>
    </xdr:to>
    <xdr:graphicFrame>
      <xdr:nvGraphicFramePr>
        <xdr:cNvPr id="7" name="Chart 11"/>
        <xdr:cNvGraphicFramePr/>
      </xdr:nvGraphicFramePr>
      <xdr:xfrm>
        <a:off x="3124200" y="21631275"/>
        <a:ext cx="3933825" cy="2628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152400</xdr:colOff>
      <xdr:row>166</xdr:row>
      <xdr:rowOff>85725</xdr:rowOff>
    </xdr:from>
    <xdr:to>
      <xdr:col>16</xdr:col>
      <xdr:colOff>219075</xdr:colOff>
      <xdr:row>188</xdr:row>
      <xdr:rowOff>38100</xdr:rowOff>
    </xdr:to>
    <xdr:graphicFrame>
      <xdr:nvGraphicFramePr>
        <xdr:cNvPr id="8" name="Chart 14"/>
        <xdr:cNvGraphicFramePr/>
      </xdr:nvGraphicFramePr>
      <xdr:xfrm>
        <a:off x="4000500" y="27222450"/>
        <a:ext cx="5553075" cy="3581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104775</xdr:colOff>
      <xdr:row>168</xdr:row>
      <xdr:rowOff>76200</xdr:rowOff>
    </xdr:from>
    <xdr:to>
      <xdr:col>16</xdr:col>
      <xdr:colOff>104775</xdr:colOff>
      <xdr:row>180</xdr:row>
      <xdr:rowOff>142875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8829675" y="27584400"/>
          <a:ext cx="60960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0.30
0.25
0.20
0.15
0.10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T52"/>
  <sheetViews>
    <sheetView showGridLines="0" tabSelected="1" zoomScale="90" zoomScaleNormal="90" workbookViewId="0" topLeftCell="A1">
      <selection activeCell="B26" sqref="B26"/>
    </sheetView>
  </sheetViews>
  <sheetFormatPr defaultColWidth="9.140625" defaultRowHeight="12.75"/>
  <cols>
    <col min="1" max="1" width="4.00390625" style="0" customWidth="1"/>
    <col min="6" max="6" width="9.57421875" style="0" bestFit="1" customWidth="1"/>
    <col min="7" max="7" width="5.28125" style="0" customWidth="1"/>
    <col min="10" max="10" width="11.7109375" style="0" customWidth="1"/>
    <col min="12" max="12" width="7.421875" style="0" customWidth="1"/>
    <col min="15" max="15" width="11.421875" style="0" customWidth="1"/>
  </cols>
  <sheetData>
    <row r="1" ht="13.5" thickBot="1"/>
    <row r="2" spans="2:18" ht="15.75">
      <c r="B2" s="117" t="s">
        <v>51</v>
      </c>
      <c r="C2" s="2"/>
      <c r="D2" s="2"/>
      <c r="E2" s="2"/>
      <c r="F2" s="2"/>
      <c r="G2" s="3"/>
      <c r="H2" s="40" t="s">
        <v>7</v>
      </c>
      <c r="I2" s="41"/>
      <c r="J2" s="41"/>
      <c r="K2" s="91">
        <v>0</v>
      </c>
      <c r="L2" s="114">
        <f>IF(P11&gt;K8,P11,K8)</f>
        <v>1</v>
      </c>
      <c r="M2" s="40" t="s">
        <v>147</v>
      </c>
      <c r="N2" s="41"/>
      <c r="O2" s="41"/>
      <c r="P2" s="41"/>
      <c r="Q2" s="42"/>
      <c r="R2" s="5"/>
    </row>
    <row r="3" spans="2:18" ht="12.75">
      <c r="B3" s="4" t="s">
        <v>108</v>
      </c>
      <c r="C3" s="5"/>
      <c r="D3" s="5"/>
      <c r="E3" s="5"/>
      <c r="F3" s="5"/>
      <c r="G3" s="7"/>
      <c r="H3" s="43" t="s">
        <v>0</v>
      </c>
      <c r="I3" s="44"/>
      <c r="J3" s="44"/>
      <c r="K3" s="132">
        <v>5</v>
      </c>
      <c r="L3" s="45" t="s">
        <v>1</v>
      </c>
      <c r="M3" s="43" t="s">
        <v>9</v>
      </c>
      <c r="N3" s="44"/>
      <c r="O3" s="44"/>
      <c r="P3" s="134">
        <v>8</v>
      </c>
      <c r="Q3" s="45" t="s">
        <v>1</v>
      </c>
      <c r="R3" s="5"/>
    </row>
    <row r="4" spans="2:18" ht="14.25">
      <c r="B4" s="4"/>
      <c r="C4" s="5"/>
      <c r="D4" s="5"/>
      <c r="E4" s="5"/>
      <c r="F4" s="5"/>
      <c r="G4" s="7"/>
      <c r="H4" s="43" t="s">
        <v>2</v>
      </c>
      <c r="I4" s="44"/>
      <c r="J4" s="44"/>
      <c r="K4" s="136">
        <v>0.024</v>
      </c>
      <c r="L4" s="45" t="s">
        <v>56</v>
      </c>
      <c r="M4" s="43" t="s">
        <v>148</v>
      </c>
      <c r="N4" s="44"/>
      <c r="O4" s="44"/>
      <c r="P4" s="134">
        <v>2</v>
      </c>
      <c r="Q4" s="45" t="s">
        <v>5</v>
      </c>
      <c r="R4" s="5"/>
    </row>
    <row r="5" spans="2:18" ht="14.25">
      <c r="B5" s="4" t="s">
        <v>44</v>
      </c>
      <c r="C5" s="5"/>
      <c r="D5" s="5"/>
      <c r="E5" s="5"/>
      <c r="F5" s="5"/>
      <c r="G5" s="7"/>
      <c r="H5" s="43" t="s">
        <v>3</v>
      </c>
      <c r="I5" s="44"/>
      <c r="J5" s="44"/>
      <c r="K5" s="132">
        <v>30</v>
      </c>
      <c r="L5" s="45" t="s">
        <v>1</v>
      </c>
      <c r="M5" s="43" t="s">
        <v>10</v>
      </c>
      <c r="N5" s="44"/>
      <c r="O5" s="44"/>
      <c r="P5" s="134">
        <v>0.04</v>
      </c>
      <c r="Q5" s="45" t="s">
        <v>56</v>
      </c>
      <c r="R5" s="5"/>
    </row>
    <row r="6" spans="2:18" ht="12.75">
      <c r="B6" s="4" t="s">
        <v>45</v>
      </c>
      <c r="C6" s="5"/>
      <c r="D6" s="5"/>
      <c r="E6" s="5"/>
      <c r="F6" s="5"/>
      <c r="G6" s="7"/>
      <c r="H6" s="43" t="s">
        <v>4</v>
      </c>
      <c r="I6" s="44"/>
      <c r="J6" s="44"/>
      <c r="K6" s="133">
        <v>0.015</v>
      </c>
      <c r="L6" s="45" t="s">
        <v>5</v>
      </c>
      <c r="M6" s="43" t="s">
        <v>12</v>
      </c>
      <c r="N6" s="44"/>
      <c r="O6" s="44"/>
      <c r="P6" s="134">
        <v>0.01</v>
      </c>
      <c r="Q6" s="45" t="s">
        <v>5</v>
      </c>
      <c r="R6" s="5"/>
    </row>
    <row r="7" spans="2:18" ht="12.75">
      <c r="B7" s="4" t="s">
        <v>46</v>
      </c>
      <c r="C7" s="5"/>
      <c r="D7" s="5"/>
      <c r="E7" s="5"/>
      <c r="F7" s="5"/>
      <c r="G7" s="7"/>
      <c r="H7" s="43" t="s">
        <v>77</v>
      </c>
      <c r="I7" s="44"/>
      <c r="J7" s="44"/>
      <c r="K7" s="134">
        <v>8</v>
      </c>
      <c r="L7" s="45" t="s">
        <v>1</v>
      </c>
      <c r="M7" s="43" t="s">
        <v>11</v>
      </c>
      <c r="N7" s="44"/>
      <c r="O7" s="44"/>
      <c r="P7" s="46">
        <f>+K3*2</f>
        <v>10</v>
      </c>
      <c r="Q7" s="45" t="s">
        <v>1</v>
      </c>
      <c r="R7" s="5"/>
    </row>
    <row r="8" spans="2:18" ht="13.5" thickBot="1">
      <c r="B8" s="4" t="s">
        <v>47</v>
      </c>
      <c r="C8" s="5"/>
      <c r="D8" s="5"/>
      <c r="E8" s="5"/>
      <c r="F8" s="5"/>
      <c r="G8" s="7"/>
      <c r="H8" s="4" t="s">
        <v>76</v>
      </c>
      <c r="I8" s="5"/>
      <c r="J8" s="5"/>
      <c r="K8" s="5">
        <f>+K6*K5</f>
        <v>0.44999999999999996</v>
      </c>
      <c r="L8" s="45" t="s">
        <v>1</v>
      </c>
      <c r="M8" s="10"/>
      <c r="N8" s="11"/>
      <c r="O8" s="11"/>
      <c r="P8" s="11"/>
      <c r="Q8" s="12"/>
      <c r="R8" s="5"/>
    </row>
    <row r="9" spans="2:18" ht="12.75">
      <c r="B9" s="4"/>
      <c r="C9" s="5"/>
      <c r="D9" s="5"/>
      <c r="E9" s="5"/>
      <c r="F9" s="5"/>
      <c r="G9" s="7"/>
      <c r="H9" s="43" t="s">
        <v>14</v>
      </c>
      <c r="I9" s="44"/>
      <c r="J9" s="44"/>
      <c r="K9" s="137">
        <f>0.0625/K3</f>
        <v>0.0125</v>
      </c>
      <c r="L9" s="7"/>
      <c r="M9" s="40" t="s">
        <v>8</v>
      </c>
      <c r="N9" s="41"/>
      <c r="O9" s="41"/>
      <c r="P9" s="41"/>
      <c r="Q9" s="42"/>
      <c r="R9" s="5"/>
    </row>
    <row r="10" spans="2:18" ht="12.75">
      <c r="B10" s="119" t="s">
        <v>137</v>
      </c>
      <c r="C10" s="5"/>
      <c r="D10" s="5"/>
      <c r="E10" s="5"/>
      <c r="F10" s="5"/>
      <c r="G10" s="7"/>
      <c r="H10" s="4" t="s">
        <v>107</v>
      </c>
      <c r="I10" s="5"/>
      <c r="J10" s="5"/>
      <c r="K10" s="134">
        <v>2</v>
      </c>
      <c r="L10" s="7" t="s">
        <v>1</v>
      </c>
      <c r="M10" s="113">
        <f>IF(P11&gt;K7,"Outlet head exceeds road deck!","")</f>
      </c>
      <c r="N10" s="44"/>
      <c r="O10" s="44"/>
      <c r="P10" s="112">
        <f>IF(P11&lt;0.1,0.1,P11)</f>
        <v>1</v>
      </c>
      <c r="Q10" s="45"/>
      <c r="R10" s="5"/>
    </row>
    <row r="11" spans="2:18" ht="13.5" thickBot="1">
      <c r="B11" s="4" t="s">
        <v>139</v>
      </c>
      <c r="C11" s="5"/>
      <c r="D11" s="5"/>
      <c r="E11" s="5" t="s">
        <v>141</v>
      </c>
      <c r="F11" s="5"/>
      <c r="G11" s="7"/>
      <c r="H11" s="49" t="s">
        <v>39</v>
      </c>
      <c r="I11" s="47"/>
      <c r="J11" s="47"/>
      <c r="K11" s="75">
        <f>+K10/K3</f>
        <v>0.4</v>
      </c>
      <c r="L11" s="48" t="s">
        <v>1</v>
      </c>
      <c r="M11" s="49" t="s">
        <v>43</v>
      </c>
      <c r="N11" s="47"/>
      <c r="O11" s="47"/>
      <c r="P11" s="135">
        <v>1</v>
      </c>
      <c r="Q11" s="48" t="s">
        <v>1</v>
      </c>
      <c r="R11" s="5"/>
    </row>
    <row r="12" spans="2:18" ht="12.75">
      <c r="B12" s="4" t="s">
        <v>138</v>
      </c>
      <c r="C12" s="5"/>
      <c r="D12" s="5"/>
      <c r="E12" s="121" t="s">
        <v>142</v>
      </c>
      <c r="F12" s="5"/>
      <c r="G12" s="7"/>
      <c r="H12" s="40" t="s">
        <v>54</v>
      </c>
      <c r="I12" s="41"/>
      <c r="J12" s="41"/>
      <c r="K12" s="120">
        <f>IF(K6&lt;0,"Negative culvert slope!!","")</f>
      </c>
      <c r="L12" s="41"/>
      <c r="M12" s="41"/>
      <c r="N12" s="41"/>
      <c r="O12" s="41"/>
      <c r="P12" s="41"/>
      <c r="Q12" s="42"/>
      <c r="R12" s="5"/>
    </row>
    <row r="13" spans="2:18" ht="12.75">
      <c r="B13" s="4" t="s">
        <v>140</v>
      </c>
      <c r="C13" s="5"/>
      <c r="D13" s="5"/>
      <c r="E13" s="121" t="s">
        <v>143</v>
      </c>
      <c r="F13" s="5"/>
      <c r="G13" s="7"/>
      <c r="H13" s="4"/>
      <c r="I13" s="5"/>
      <c r="J13" s="5"/>
      <c r="K13" s="37">
        <f>IF(P11&gt;K3,IF(K8&gt;P11,"Outlet is submerged, inlet is not!",""),"")</f>
      </c>
      <c r="L13" s="5"/>
      <c r="M13" s="44"/>
      <c r="N13" s="44"/>
      <c r="O13" s="44"/>
      <c r="P13" s="44"/>
      <c r="Q13" s="45"/>
      <c r="R13" s="5"/>
    </row>
    <row r="14" spans="2:18" ht="12.75">
      <c r="B14" s="119" t="s">
        <v>48</v>
      </c>
      <c r="C14" s="5"/>
      <c r="D14" s="5"/>
      <c r="E14" s="5"/>
      <c r="F14" s="5"/>
      <c r="G14" s="7"/>
      <c r="H14" s="52"/>
      <c r="I14" s="44"/>
      <c r="J14" s="44"/>
      <c r="K14" s="44"/>
      <c r="L14" s="44"/>
      <c r="M14" s="44"/>
      <c r="N14" s="44"/>
      <c r="O14" s="44"/>
      <c r="P14" s="44"/>
      <c r="Q14" s="45"/>
      <c r="R14" s="5"/>
    </row>
    <row r="15" spans="2:18" ht="12.75">
      <c r="B15" s="4" t="s">
        <v>49</v>
      </c>
      <c r="C15" s="5"/>
      <c r="D15" s="5"/>
      <c r="E15" s="5"/>
      <c r="F15" s="5"/>
      <c r="G15" s="7"/>
      <c r="H15" s="43" t="s">
        <v>144</v>
      </c>
      <c r="I15" s="44" t="s">
        <v>63</v>
      </c>
      <c r="J15" s="44"/>
      <c r="K15" s="44"/>
      <c r="L15" s="44"/>
      <c r="M15" s="44"/>
      <c r="N15" s="44"/>
      <c r="O15" s="44"/>
      <c r="P15" s="44"/>
      <c r="Q15" s="45"/>
      <c r="R15" s="5"/>
    </row>
    <row r="16" spans="2:18" ht="12.75">
      <c r="B16" s="4" t="s">
        <v>52</v>
      </c>
      <c r="C16" s="5"/>
      <c r="D16" s="5"/>
      <c r="E16" s="5"/>
      <c r="F16" s="5"/>
      <c r="G16" s="7"/>
      <c r="H16" s="43" t="s">
        <v>145</v>
      </c>
      <c r="I16" s="44" t="s">
        <v>64</v>
      </c>
      <c r="J16" s="44"/>
      <c r="K16" s="44"/>
      <c r="L16" s="44"/>
      <c r="M16" s="44"/>
      <c r="N16" s="44"/>
      <c r="O16" s="44" t="s">
        <v>15</v>
      </c>
      <c r="P16" s="44"/>
      <c r="Q16" s="138">
        <v>3</v>
      </c>
      <c r="R16" s="5"/>
    </row>
    <row r="17" spans="2:18" ht="12.75">
      <c r="B17" s="38" t="s">
        <v>50</v>
      </c>
      <c r="C17" s="5"/>
      <c r="D17" s="5"/>
      <c r="E17" s="5"/>
      <c r="F17" s="5"/>
      <c r="G17" s="7"/>
      <c r="H17" s="43" t="s">
        <v>146</v>
      </c>
      <c r="I17" s="44" t="s">
        <v>13</v>
      </c>
      <c r="J17" s="44"/>
      <c r="K17" s="44"/>
      <c r="L17" s="44"/>
      <c r="M17" s="5"/>
      <c r="N17" s="44"/>
      <c r="O17" s="37">
        <f>IF(Q16&lt;&gt;3,IF(Q16&lt;&gt;6,IF(Q16&lt;&gt;7,"Invalid entry case!!",""),""),"")</f>
      </c>
      <c r="P17" s="44"/>
      <c r="Q17" s="45"/>
      <c r="R17" s="5"/>
    </row>
    <row r="18" spans="1:18" ht="13.5" thickBot="1">
      <c r="A18" s="5"/>
      <c r="B18" s="118" t="s">
        <v>53</v>
      </c>
      <c r="C18" s="11"/>
      <c r="D18" s="11"/>
      <c r="E18" s="11"/>
      <c r="F18" s="11"/>
      <c r="G18" s="12"/>
      <c r="H18" s="10"/>
      <c r="I18" s="11"/>
      <c r="J18" s="47"/>
      <c r="K18" s="47"/>
      <c r="L18" s="47"/>
      <c r="M18" s="47"/>
      <c r="N18" s="47"/>
      <c r="O18" s="47"/>
      <c r="P18" s="47"/>
      <c r="Q18" s="48"/>
      <c r="R18" s="5"/>
    </row>
    <row r="19" ht="13.5" thickBot="1"/>
    <row r="20" spans="4:6" ht="12.75">
      <c r="D20" s="122" t="s">
        <v>105</v>
      </c>
      <c r="E20" s="123" t="s">
        <v>62</v>
      </c>
      <c r="F20" s="124" t="s">
        <v>61</v>
      </c>
    </row>
    <row r="21" spans="4:20" ht="13.5" thickBot="1">
      <c r="D21" s="129" t="s">
        <v>106</v>
      </c>
      <c r="E21" s="130" t="s">
        <v>57</v>
      </c>
      <c r="F21" s="131" t="s">
        <v>58</v>
      </c>
      <c r="S21" s="115">
        <f>+K7</f>
        <v>8</v>
      </c>
      <c r="T21" s="115">
        <v>0</v>
      </c>
    </row>
    <row r="22" spans="4:20" ht="13.5" thickTop="1">
      <c r="D22" s="4">
        <v>1</v>
      </c>
      <c r="E22" s="9">
        <v>2.95</v>
      </c>
      <c r="F22" s="125">
        <v>42.2598441554049</v>
      </c>
      <c r="G22" s="51"/>
      <c r="S22" s="115">
        <f>+K7</f>
        <v>8</v>
      </c>
      <c r="T22" s="116">
        <f>MAX(F22:F29)</f>
        <v>259.01624446434215</v>
      </c>
    </row>
    <row r="23" spans="4:7" ht="12.75">
      <c r="D23" s="4">
        <v>1</v>
      </c>
      <c r="E23" s="9">
        <v>5.45</v>
      </c>
      <c r="F23" s="125">
        <v>134.990134279607</v>
      </c>
      <c r="G23" s="51"/>
    </row>
    <row r="24" spans="4:7" ht="12.75">
      <c r="D24" s="4">
        <v>2</v>
      </c>
      <c r="E24" s="9">
        <v>5.45</v>
      </c>
      <c r="F24" s="125">
        <v>138.7763614610311</v>
      </c>
      <c r="G24" s="51"/>
    </row>
    <row r="25" spans="4:7" ht="12.75">
      <c r="D25" s="4">
        <v>2</v>
      </c>
      <c r="E25" s="9">
        <v>6.95</v>
      </c>
      <c r="F25" s="125">
        <v>184.87105146325675</v>
      </c>
      <c r="G25" s="51"/>
    </row>
    <row r="26" spans="4:7" ht="12.75">
      <c r="D26" s="4">
        <v>5</v>
      </c>
      <c r="E26" s="9">
        <v>9.2</v>
      </c>
      <c r="F26" s="125">
        <v>227.4722665175227</v>
      </c>
      <c r="G26" s="51"/>
    </row>
    <row r="27" spans="4:7" ht="12.75">
      <c r="D27" s="4">
        <v>5</v>
      </c>
      <c r="E27" s="9">
        <v>10.45</v>
      </c>
      <c r="F27" s="125">
        <v>259.01624446434215</v>
      </c>
      <c r="G27" s="51"/>
    </row>
    <row r="28" spans="4:7" ht="12.75">
      <c r="D28" s="4">
        <v>5</v>
      </c>
      <c r="E28" s="9">
        <v>8</v>
      </c>
      <c r="F28" s="125">
        <v>202.25348433205096</v>
      </c>
      <c r="G28" s="51"/>
    </row>
    <row r="29" spans="4:7" ht="12.75">
      <c r="D29" s="4"/>
      <c r="E29" s="9"/>
      <c r="F29" s="125"/>
      <c r="G29" s="51"/>
    </row>
    <row r="30" spans="4:7" ht="12.75">
      <c r="D30" s="4"/>
      <c r="E30" s="126"/>
      <c r="F30" s="125"/>
      <c r="G30" s="51"/>
    </row>
    <row r="31" spans="4:7" ht="12.75">
      <c r="D31" s="4"/>
      <c r="E31" s="126"/>
      <c r="F31" s="125"/>
      <c r="G31" s="51"/>
    </row>
    <row r="32" spans="4:7" ht="12.75">
      <c r="D32" s="4"/>
      <c r="E32" s="126"/>
      <c r="F32" s="125"/>
      <c r="G32" s="51"/>
    </row>
    <row r="33" spans="4:7" ht="12.75">
      <c r="D33" s="4"/>
      <c r="E33" s="126"/>
      <c r="F33" s="125"/>
      <c r="G33" s="51"/>
    </row>
    <row r="34" spans="4:7" ht="12.75">
      <c r="D34" s="4"/>
      <c r="E34" s="126"/>
      <c r="F34" s="125"/>
      <c r="G34" s="51"/>
    </row>
    <row r="35" spans="4:7" ht="12.75">
      <c r="D35" s="4"/>
      <c r="E35" s="126"/>
      <c r="F35" s="125"/>
      <c r="G35" s="51"/>
    </row>
    <row r="36" spans="4:7" ht="12.75">
      <c r="D36" s="4"/>
      <c r="E36" s="126"/>
      <c r="F36" s="125"/>
      <c r="G36" s="51"/>
    </row>
    <row r="37" spans="4:7" ht="12.75">
      <c r="D37" s="4"/>
      <c r="E37" s="126"/>
      <c r="F37" s="125"/>
      <c r="G37" s="51"/>
    </row>
    <row r="38" spans="4:7" ht="12.75">
      <c r="D38" s="4"/>
      <c r="E38" s="126"/>
      <c r="F38" s="125"/>
      <c r="G38" s="51"/>
    </row>
    <row r="39" spans="4:7" ht="12.75">
      <c r="D39" s="4"/>
      <c r="E39" s="126"/>
      <c r="F39" s="125"/>
      <c r="G39" s="51"/>
    </row>
    <row r="40" spans="4:7" ht="12.75">
      <c r="D40" s="4"/>
      <c r="E40" s="126"/>
      <c r="F40" s="125"/>
      <c r="G40" s="51"/>
    </row>
    <row r="41" spans="4:7" ht="12.75">
      <c r="D41" s="4"/>
      <c r="E41" s="126"/>
      <c r="F41" s="125"/>
      <c r="G41" s="51"/>
    </row>
    <row r="42" spans="4:14" ht="13.5" thickBot="1">
      <c r="D42" s="10"/>
      <c r="E42" s="127"/>
      <c r="F42" s="128"/>
      <c r="G42" s="51"/>
      <c r="M42" s="51">
        <v>0</v>
      </c>
      <c r="N42" s="51">
        <f>+K3+K8</f>
        <v>5.45</v>
      </c>
    </row>
    <row r="43" spans="5:14" ht="12.75">
      <c r="E43" s="51"/>
      <c r="F43" s="51"/>
      <c r="M43" s="51">
        <f>+K5</f>
        <v>30</v>
      </c>
      <c r="N43" s="51">
        <f>+K3</f>
        <v>5</v>
      </c>
    </row>
    <row r="44" spans="5:15" ht="12.75">
      <c r="E44" s="51"/>
      <c r="F44" s="51"/>
      <c r="M44" s="51">
        <f>+$K$5</f>
        <v>30</v>
      </c>
      <c r="N44" s="51">
        <v>0</v>
      </c>
      <c r="O44" s="51"/>
    </row>
    <row r="45" spans="5:15" ht="12.75">
      <c r="E45" s="51"/>
      <c r="F45" s="51"/>
      <c r="M45" s="51">
        <v>0</v>
      </c>
      <c r="N45" s="51">
        <f>+K8</f>
        <v>0.44999999999999996</v>
      </c>
      <c r="O45" s="51"/>
    </row>
    <row r="46" spans="7:15" ht="12.75">
      <c r="G46" s="51"/>
      <c r="M46" s="51">
        <v>0</v>
      </c>
      <c r="N46" s="51">
        <f>+K3+K8</f>
        <v>5.45</v>
      </c>
      <c r="O46" s="51"/>
    </row>
    <row r="47" spans="13:15" ht="12.75">
      <c r="M47" s="51">
        <f>+$K$5</f>
        <v>30</v>
      </c>
      <c r="N47" s="51">
        <f>+$P$11</f>
        <v>1</v>
      </c>
      <c r="O47" s="51"/>
    </row>
    <row r="48" spans="13:14" ht="12.75">
      <c r="M48" s="51">
        <f>1.25*M44</f>
        <v>37.5</v>
      </c>
      <c r="N48" s="51">
        <f>+$P$11</f>
        <v>1</v>
      </c>
    </row>
    <row r="49" spans="13:14" ht="12.75">
      <c r="M49" s="51">
        <v>0</v>
      </c>
      <c r="N49" s="51">
        <f>+N46</f>
        <v>5.45</v>
      </c>
    </row>
    <row r="50" spans="13:14" ht="12.75">
      <c r="M50" s="51">
        <f>0.2*M43</f>
        <v>6</v>
      </c>
      <c r="N50" s="51">
        <f>+K7</f>
        <v>8</v>
      </c>
    </row>
    <row r="51" spans="13:14" ht="12.75">
      <c r="M51" s="51">
        <f>0.8*M43</f>
        <v>24</v>
      </c>
      <c r="N51" s="51">
        <f>+K7</f>
        <v>8</v>
      </c>
    </row>
    <row r="52" spans="13:14" ht="12.75">
      <c r="M52" s="51">
        <f>+K5</f>
        <v>30</v>
      </c>
      <c r="N52" s="51">
        <f>+K3</f>
        <v>5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Z189"/>
  <sheetViews>
    <sheetView zoomScale="85" zoomScaleNormal="85" workbookViewId="0" topLeftCell="A121">
      <selection activeCell="L154" sqref="L154"/>
    </sheetView>
  </sheetViews>
  <sheetFormatPr defaultColWidth="9.140625" defaultRowHeight="12.75"/>
  <cols>
    <col min="1" max="1" width="2.8515625" style="0" customWidth="1"/>
  </cols>
  <sheetData>
    <row r="2" ht="13.5" thickBot="1"/>
    <row r="3" spans="2:16" ht="12.75">
      <c r="B3" s="1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2:16" ht="12.75">
      <c r="B4" s="4" t="s">
        <v>16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"/>
    </row>
    <row r="5" spans="2:16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7"/>
    </row>
    <row r="6" spans="2:16" ht="14.25">
      <c r="B6" s="27" t="s">
        <v>17</v>
      </c>
      <c r="C6" s="5"/>
      <c r="D6" s="5"/>
      <c r="E6" s="5"/>
      <c r="F6" s="17" t="s">
        <v>17</v>
      </c>
      <c r="G6" s="5"/>
      <c r="H6" s="5"/>
      <c r="I6" s="5"/>
      <c r="J6" s="5"/>
      <c r="K6" s="5"/>
      <c r="L6" s="5"/>
      <c r="M6" s="5"/>
      <c r="N6" s="5"/>
      <c r="O6" s="5"/>
      <c r="P6" s="7"/>
    </row>
    <row r="7" spans="2:16" ht="15" thickBot="1">
      <c r="B7" s="28" t="s">
        <v>18</v>
      </c>
      <c r="C7" s="14" t="s">
        <v>19</v>
      </c>
      <c r="D7" s="11" t="s">
        <v>35</v>
      </c>
      <c r="E7" s="11" t="s">
        <v>36</v>
      </c>
      <c r="F7" s="14" t="s">
        <v>18</v>
      </c>
      <c r="G7" s="14" t="s">
        <v>19</v>
      </c>
      <c r="H7" s="5"/>
      <c r="I7" s="5"/>
      <c r="J7" s="5"/>
      <c r="K7" s="5"/>
      <c r="L7" s="5"/>
      <c r="M7" s="5"/>
      <c r="N7" s="5"/>
      <c r="O7" s="5"/>
      <c r="P7" s="7"/>
    </row>
    <row r="8" spans="2:16" ht="12.75">
      <c r="B8" s="27"/>
      <c r="C8" s="17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7"/>
    </row>
    <row r="9" spans="2:16" ht="12.75">
      <c r="B9" s="27">
        <v>3</v>
      </c>
      <c r="C9" s="24">
        <v>0.85</v>
      </c>
      <c r="D9" s="25">
        <f>+(C10-C9)/(B10-B9)</f>
        <v>-0.08999999999999997</v>
      </c>
      <c r="E9" s="25">
        <f>+C9-D9*B9</f>
        <v>1.1199999999999999</v>
      </c>
      <c r="F9" s="6">
        <v>6.1</v>
      </c>
      <c r="G9" s="26">
        <f>IF(F9&lt;=3,0.85,IF(F9&gt;=12,0.55,VLOOKUP(F9,B9:E18,3)*F9+VLOOKUP(F9,B9:E18,4)))</f>
        <v>0.627</v>
      </c>
      <c r="H9" s="5"/>
      <c r="I9" s="5"/>
      <c r="J9" s="5"/>
      <c r="K9" s="5"/>
      <c r="L9" s="5"/>
      <c r="M9" s="5"/>
      <c r="N9" s="5"/>
      <c r="O9" s="5"/>
      <c r="P9" s="7"/>
    </row>
    <row r="10" spans="2:16" ht="12.75">
      <c r="B10" s="27">
        <v>4</v>
      </c>
      <c r="C10" s="24">
        <v>0.76</v>
      </c>
      <c r="D10" s="25">
        <f aca="true" t="shared" si="0" ref="D10:D17">+(C11-C10)/(B11-B10)</f>
        <v>-0.08999999999999997</v>
      </c>
      <c r="E10" s="25">
        <f aca="true" t="shared" si="1" ref="E10:E17">+C10-D10*B10</f>
        <v>1.1199999999999999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7"/>
    </row>
    <row r="11" spans="2:16" ht="12.75">
      <c r="B11" s="27">
        <v>5</v>
      </c>
      <c r="C11" s="24">
        <v>0.67</v>
      </c>
      <c r="D11" s="25">
        <f t="shared" si="0"/>
        <v>-0.040000000000000036</v>
      </c>
      <c r="E11" s="25">
        <f t="shared" si="1"/>
        <v>0.8700000000000002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</row>
    <row r="12" spans="2:16" ht="12.75">
      <c r="B12" s="27">
        <v>6</v>
      </c>
      <c r="C12" s="24">
        <v>0.63</v>
      </c>
      <c r="D12" s="25">
        <f t="shared" si="0"/>
        <v>-0.030000000000000027</v>
      </c>
      <c r="E12" s="25">
        <f t="shared" si="1"/>
        <v>0.8100000000000002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7"/>
    </row>
    <row r="13" spans="2:16" ht="12.75">
      <c r="B13" s="27">
        <v>7</v>
      </c>
      <c r="C13" s="24">
        <v>0.6</v>
      </c>
      <c r="D13" s="25">
        <f t="shared" si="0"/>
        <v>-0.020000000000000018</v>
      </c>
      <c r="E13" s="25">
        <f t="shared" si="1"/>
        <v>0.7400000000000001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7"/>
    </row>
    <row r="14" spans="2:16" ht="12.75">
      <c r="B14" s="27">
        <v>8</v>
      </c>
      <c r="C14" s="24">
        <v>0.58</v>
      </c>
      <c r="D14" s="25">
        <f t="shared" si="0"/>
        <v>-0.010000000000000009</v>
      </c>
      <c r="E14" s="25">
        <f t="shared" si="1"/>
        <v>0.66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7"/>
    </row>
    <row r="15" spans="2:16" ht="12.75">
      <c r="B15" s="27">
        <v>9</v>
      </c>
      <c r="C15" s="24">
        <v>0.57</v>
      </c>
      <c r="D15" s="25">
        <f t="shared" si="0"/>
        <v>-0.0050000000000000044</v>
      </c>
      <c r="E15" s="25">
        <f t="shared" si="1"/>
        <v>0.615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7"/>
    </row>
    <row r="16" spans="2:16" ht="12.75">
      <c r="B16" s="27">
        <v>10</v>
      </c>
      <c r="C16" s="24">
        <v>0.565</v>
      </c>
      <c r="D16" s="25">
        <f t="shared" si="0"/>
        <v>-0.004999999999999893</v>
      </c>
      <c r="E16" s="25">
        <f t="shared" si="1"/>
        <v>0.6149999999999989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7"/>
    </row>
    <row r="17" spans="2:16" ht="12.75">
      <c r="B17" s="27">
        <v>11</v>
      </c>
      <c r="C17" s="24">
        <v>0.56</v>
      </c>
      <c r="D17" s="25">
        <f t="shared" si="0"/>
        <v>-0.010000000000000009</v>
      </c>
      <c r="E17" s="25">
        <f t="shared" si="1"/>
        <v>0.6700000000000002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7"/>
    </row>
    <row r="18" spans="2:16" ht="12.75">
      <c r="B18" s="27">
        <v>12</v>
      </c>
      <c r="C18" s="24">
        <v>0.55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7"/>
    </row>
    <row r="19" spans="2:16" ht="12.7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7"/>
    </row>
    <row r="20" spans="2:16" ht="13.5" thickBot="1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</row>
    <row r="22" ht="13.5" thickBot="1"/>
    <row r="23" spans="2:16" ht="12.75">
      <c r="B23" s="1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2:16" ht="12.75">
      <c r="B24" s="4" t="s">
        <v>20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7"/>
    </row>
    <row r="25" spans="2:16" ht="12.7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7"/>
    </row>
    <row r="26" spans="2:16" ht="13.5" thickBot="1">
      <c r="B26" s="29" t="s">
        <v>21</v>
      </c>
      <c r="C26" s="18" t="s">
        <v>22</v>
      </c>
      <c r="D26" s="18" t="s">
        <v>35</v>
      </c>
      <c r="E26" s="18" t="s">
        <v>36</v>
      </c>
      <c r="F26" s="18" t="s">
        <v>21</v>
      </c>
      <c r="G26" s="18" t="s">
        <v>22</v>
      </c>
      <c r="H26" s="16"/>
      <c r="I26" s="5"/>
      <c r="J26" s="5"/>
      <c r="K26" s="5"/>
      <c r="L26" s="5"/>
      <c r="M26" s="5"/>
      <c r="N26" s="5"/>
      <c r="O26" s="5"/>
      <c r="P26" s="7"/>
    </row>
    <row r="27" spans="2:16" ht="12.75">
      <c r="B27" s="27"/>
      <c r="C27" s="1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7"/>
    </row>
    <row r="28" spans="2:16" ht="12.75">
      <c r="B28" s="30">
        <v>0.4</v>
      </c>
      <c r="C28" s="16">
        <v>0.93</v>
      </c>
      <c r="D28" s="31">
        <f>+(C29-C28)/(B29-B28)</f>
        <v>-0.02500000000000003</v>
      </c>
      <c r="E28" s="31">
        <f>+C28-D28*B28</f>
        <v>0.9400000000000001</v>
      </c>
      <c r="F28" s="32">
        <v>0.4</v>
      </c>
      <c r="G28" s="33">
        <f>IF(F28&lt;=0.4,0.93,IF(F28&gt;=1.4,0.83,VLOOKUP(F28,T!$B$28:$E$33,3)*F28+VLOOKUP(F28,T!$B$28:$E$33,4)))</f>
        <v>0.93</v>
      </c>
      <c r="H28" s="5"/>
      <c r="I28" s="5"/>
      <c r="J28" s="5"/>
      <c r="K28" s="5"/>
      <c r="L28" s="5"/>
      <c r="M28" s="5"/>
      <c r="N28" s="5"/>
      <c r="O28" s="5"/>
      <c r="P28" s="7"/>
    </row>
    <row r="29" spans="2:16" ht="12.75">
      <c r="B29" s="30">
        <v>0.6</v>
      </c>
      <c r="C29" s="21">
        <v>0.925</v>
      </c>
      <c r="D29" s="31">
        <f>+(C30-C29)/(B30-B29)</f>
        <v>-0.07500000000000004</v>
      </c>
      <c r="E29" s="31">
        <f>+C29-D29*B29</f>
        <v>0.9700000000000001</v>
      </c>
      <c r="F29" s="16"/>
      <c r="G29" s="16"/>
      <c r="H29" s="5"/>
      <c r="I29" s="5"/>
      <c r="J29" s="5"/>
      <c r="K29" s="5"/>
      <c r="L29" s="5"/>
      <c r="M29" s="5"/>
      <c r="N29" s="5"/>
      <c r="O29" s="5"/>
      <c r="P29" s="7"/>
    </row>
    <row r="30" spans="2:16" ht="12.75">
      <c r="B30" s="30">
        <v>0.8</v>
      </c>
      <c r="C30" s="16">
        <v>0.91</v>
      </c>
      <c r="D30" s="31">
        <f>+(C31-C30)/(B31-B30)</f>
        <v>-0.12500000000000014</v>
      </c>
      <c r="E30" s="31">
        <f>+C30-D30*B30</f>
        <v>1.0100000000000002</v>
      </c>
      <c r="F30" s="16"/>
      <c r="G30" s="16"/>
      <c r="H30" s="5"/>
      <c r="I30" s="5"/>
      <c r="J30" s="5"/>
      <c r="K30" s="5"/>
      <c r="L30" s="5"/>
      <c r="M30" s="5"/>
      <c r="N30" s="5"/>
      <c r="O30" s="5"/>
      <c r="P30" s="7"/>
    </row>
    <row r="31" spans="2:16" ht="12.75">
      <c r="B31" s="30">
        <v>1</v>
      </c>
      <c r="C31" s="21">
        <v>0.885</v>
      </c>
      <c r="D31" s="31">
        <f>+(C32-C31)/(B32-B31)</f>
        <v>-0.12500000000000014</v>
      </c>
      <c r="E31" s="31">
        <f>+C31-D31*B31</f>
        <v>1.0100000000000002</v>
      </c>
      <c r="F31" s="16"/>
      <c r="G31" s="16"/>
      <c r="H31" s="5"/>
      <c r="I31" s="5"/>
      <c r="J31" s="5"/>
      <c r="K31" s="5"/>
      <c r="L31" s="5"/>
      <c r="M31" s="5"/>
      <c r="N31" s="5"/>
      <c r="O31" s="5"/>
      <c r="P31" s="7"/>
    </row>
    <row r="32" spans="2:16" ht="12.75">
      <c r="B32" s="30">
        <v>1.2</v>
      </c>
      <c r="C32" s="16">
        <v>0.86</v>
      </c>
      <c r="D32" s="31">
        <f>+(C33-C32)/(B33-B32)</f>
        <v>-0.15000000000000016</v>
      </c>
      <c r="E32" s="31">
        <f>+C32-D32*B32</f>
        <v>1.0400000000000003</v>
      </c>
      <c r="F32" s="16"/>
      <c r="G32" s="16"/>
      <c r="H32" s="5"/>
      <c r="I32" s="5"/>
      <c r="J32" s="5"/>
      <c r="K32" s="5"/>
      <c r="L32" s="5"/>
      <c r="M32" s="5"/>
      <c r="N32" s="5"/>
      <c r="O32" s="5"/>
      <c r="P32" s="7"/>
    </row>
    <row r="33" spans="2:16" ht="12.75">
      <c r="B33" s="30">
        <v>1.4</v>
      </c>
      <c r="C33" s="16">
        <v>0.83</v>
      </c>
      <c r="D33" s="16"/>
      <c r="E33" s="16"/>
      <c r="F33" s="16"/>
      <c r="G33" s="16"/>
      <c r="H33" s="5"/>
      <c r="I33" s="5"/>
      <c r="J33" s="5"/>
      <c r="K33" s="5"/>
      <c r="L33" s="5"/>
      <c r="M33" s="5"/>
      <c r="N33" s="5"/>
      <c r="O33" s="5"/>
      <c r="P33" s="7"/>
    </row>
    <row r="34" spans="2:16" ht="12.7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7"/>
    </row>
    <row r="35" spans="2:16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7"/>
    </row>
    <row r="36" spans="2:16" ht="12.7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7"/>
    </row>
    <row r="37" spans="2:16" ht="12.7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7"/>
    </row>
    <row r="38" spans="2:16" ht="12.75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7"/>
    </row>
    <row r="39" spans="2:16" ht="12.75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7"/>
    </row>
    <row r="40" spans="2:16" ht="13.5" thickBo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</row>
    <row r="41" spans="2:16" ht="13.5" thickBo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</row>
    <row r="43" spans="2:16" ht="12.75">
      <c r="B43" s="4" t="s">
        <v>23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7"/>
    </row>
    <row r="44" spans="2:16" ht="12.75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7"/>
    </row>
    <row r="45" spans="2:16" ht="13.5" thickBot="1">
      <c r="B45" s="29" t="s">
        <v>24</v>
      </c>
      <c r="C45" s="18" t="s">
        <v>25</v>
      </c>
      <c r="D45" s="18" t="s">
        <v>35</v>
      </c>
      <c r="E45" s="18" t="s">
        <v>36</v>
      </c>
      <c r="F45" s="18" t="s">
        <v>24</v>
      </c>
      <c r="G45" s="18" t="s">
        <v>25</v>
      </c>
      <c r="H45" s="5"/>
      <c r="I45" s="5"/>
      <c r="J45" s="5"/>
      <c r="K45" s="5"/>
      <c r="L45" s="5"/>
      <c r="M45" s="5"/>
      <c r="N45" s="5"/>
      <c r="O45" s="5"/>
      <c r="P45" s="7"/>
    </row>
    <row r="46" spans="2:16" ht="12.7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7"/>
    </row>
    <row r="47" spans="2:16" ht="12.75">
      <c r="B47" s="34">
        <v>0</v>
      </c>
      <c r="C47" s="25">
        <v>1</v>
      </c>
      <c r="D47" s="31">
        <f>+(C48-C47)/(B48-B47)</f>
        <v>0.20499999999999963</v>
      </c>
      <c r="E47" s="31">
        <f>+C47-D47*B47</f>
        <v>1</v>
      </c>
      <c r="F47" s="32">
        <v>0.1</v>
      </c>
      <c r="G47" s="33">
        <f>IF(F47&lt;=0,1,IF(F47&gt;=1.4,1.2,VLOOKUP(F47,T!$B$47:$E$54,3)*F47+VLOOKUP(F47,T!$B$47:$E$54,4)))</f>
        <v>1.0205</v>
      </c>
      <c r="H47" s="5"/>
      <c r="I47" s="5"/>
      <c r="J47" s="5"/>
      <c r="K47" s="5"/>
      <c r="L47" s="5"/>
      <c r="M47" s="5"/>
      <c r="N47" s="5"/>
      <c r="O47" s="5"/>
      <c r="P47" s="7"/>
    </row>
    <row r="48" spans="2:16" ht="12.75">
      <c r="B48" s="34">
        <v>0.2</v>
      </c>
      <c r="C48" s="25">
        <v>1.041</v>
      </c>
      <c r="D48" s="31">
        <f aca="true" t="shared" si="2" ref="D48:D53">+(C49-C48)/(B49-B48)</f>
        <v>0.19500000000000073</v>
      </c>
      <c r="E48" s="31">
        <f aca="true" t="shared" si="3" ref="E48:E53">+C48-D48*B48</f>
        <v>1.0019999999999998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7"/>
    </row>
    <row r="49" spans="2:16" ht="12.75">
      <c r="B49" s="34">
        <v>0.4</v>
      </c>
      <c r="C49" s="25">
        <v>1.08</v>
      </c>
      <c r="D49" s="31">
        <f t="shared" si="2"/>
        <v>0.18499999999999964</v>
      </c>
      <c r="E49" s="31">
        <f t="shared" si="3"/>
        <v>1.0060000000000002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7"/>
    </row>
    <row r="50" spans="2:16" ht="12.75">
      <c r="B50" s="34">
        <v>0.6</v>
      </c>
      <c r="C50" s="25">
        <v>1.117</v>
      </c>
      <c r="D50" s="31">
        <f t="shared" si="2"/>
        <v>0.18499999999999955</v>
      </c>
      <c r="E50" s="31">
        <f t="shared" si="3"/>
        <v>1.0060000000000002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7"/>
    </row>
    <row r="51" spans="2:16" ht="12.75">
      <c r="B51" s="34">
        <v>0.8</v>
      </c>
      <c r="C51" s="25">
        <v>1.154</v>
      </c>
      <c r="D51" s="31">
        <f t="shared" si="2"/>
        <v>0.13000000000000014</v>
      </c>
      <c r="E51" s="31">
        <f t="shared" si="3"/>
        <v>1.0499999999999998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7"/>
    </row>
    <row r="52" spans="2:16" ht="12.75">
      <c r="B52" s="34">
        <v>1</v>
      </c>
      <c r="C52" s="25">
        <v>1.18</v>
      </c>
      <c r="D52" s="31">
        <f t="shared" si="2"/>
        <v>0.06500000000000063</v>
      </c>
      <c r="E52" s="31">
        <f t="shared" si="3"/>
        <v>1.1149999999999993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7"/>
    </row>
    <row r="53" spans="2:16" ht="12.75">
      <c r="B53" s="34">
        <v>1.2</v>
      </c>
      <c r="C53" s="25">
        <v>1.193</v>
      </c>
      <c r="D53" s="31">
        <f t="shared" si="2"/>
        <v>0.03499999999999948</v>
      </c>
      <c r="E53" s="31">
        <f t="shared" si="3"/>
        <v>1.1510000000000007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7"/>
    </row>
    <row r="54" spans="2:16" ht="12.75">
      <c r="B54" s="34">
        <v>1.4</v>
      </c>
      <c r="C54" s="25">
        <v>1.2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7"/>
    </row>
    <row r="55" spans="2:16" ht="12.75"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7"/>
    </row>
    <row r="56" spans="2:16" ht="12.75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7"/>
    </row>
    <row r="57" spans="2:16" ht="12.75"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7"/>
    </row>
    <row r="58" spans="2:16" ht="12.75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7"/>
    </row>
    <row r="59" spans="2:16" ht="12.75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7"/>
    </row>
    <row r="60" spans="2:16" ht="13.5" thickBo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</row>
    <row r="61" ht="13.5" thickBot="1"/>
    <row r="62" spans="2:14" ht="12.75">
      <c r="B62" s="1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</row>
    <row r="63" spans="2:14" ht="12.75">
      <c r="B63" s="4" t="s">
        <v>26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7"/>
    </row>
    <row r="64" spans="2:14" ht="12.75"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7"/>
    </row>
    <row r="65" spans="2:14" ht="13.5" thickBot="1">
      <c r="B65" s="29" t="s">
        <v>27</v>
      </c>
      <c r="C65" s="18" t="s">
        <v>28</v>
      </c>
      <c r="D65" s="18" t="s">
        <v>35</v>
      </c>
      <c r="E65" s="18" t="s">
        <v>36</v>
      </c>
      <c r="F65" s="5"/>
      <c r="G65" s="5"/>
      <c r="H65" s="5"/>
      <c r="I65" s="5"/>
      <c r="J65" s="5"/>
      <c r="K65" s="5"/>
      <c r="L65" s="5"/>
      <c r="M65" s="5"/>
      <c r="N65" s="7"/>
    </row>
    <row r="66" spans="2:14" ht="12.75"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7"/>
    </row>
    <row r="67" spans="2:14" ht="12.75">
      <c r="B67" s="35">
        <v>0</v>
      </c>
      <c r="C67" s="25">
        <v>1</v>
      </c>
      <c r="D67" s="31">
        <f>+(C68-C67)/(B68-B67)</f>
        <v>4.499999999999993</v>
      </c>
      <c r="E67" s="31">
        <f>+C67-D67*B67</f>
        <v>1</v>
      </c>
      <c r="F67" s="5"/>
      <c r="G67" s="5"/>
      <c r="H67" s="5"/>
      <c r="I67" s="5"/>
      <c r="J67" s="5"/>
      <c r="K67" s="5"/>
      <c r="L67" s="5"/>
      <c r="M67" s="5"/>
      <c r="N67" s="7"/>
    </row>
    <row r="68" spans="2:14" ht="12.75">
      <c r="B68" s="35">
        <v>0.01</v>
      </c>
      <c r="C68" s="5">
        <v>1.045</v>
      </c>
      <c r="D68" s="31">
        <f>+(C69-C68)/(B69-B68)</f>
        <v>4.300000000000015</v>
      </c>
      <c r="E68" s="31">
        <f>+C68-D68*B68</f>
        <v>1.0019999999999998</v>
      </c>
      <c r="F68" s="5"/>
      <c r="G68" s="5"/>
      <c r="H68" s="5"/>
      <c r="I68" s="5"/>
      <c r="J68" s="5"/>
      <c r="K68" s="5"/>
      <c r="L68" s="5"/>
      <c r="M68" s="5"/>
      <c r="N68" s="7"/>
    </row>
    <row r="69" spans="2:14" ht="12.75">
      <c r="B69" s="35">
        <v>0.02</v>
      </c>
      <c r="C69" s="5">
        <v>1.088</v>
      </c>
      <c r="D69" s="31">
        <f>+(C70-C69)/(B70-B69)</f>
        <v>3.999999999999982</v>
      </c>
      <c r="E69" s="31">
        <f>+C69-D69*B69</f>
        <v>1.0080000000000005</v>
      </c>
      <c r="F69" s="5"/>
      <c r="G69" s="5"/>
      <c r="H69" s="5"/>
      <c r="I69" s="5"/>
      <c r="J69" s="5"/>
      <c r="K69" s="5"/>
      <c r="L69" s="5"/>
      <c r="M69" s="5"/>
      <c r="N69" s="7"/>
    </row>
    <row r="70" spans="2:14" ht="12.75">
      <c r="B70" s="35">
        <v>0.03</v>
      </c>
      <c r="C70" s="5">
        <v>1.128</v>
      </c>
      <c r="D70" s="31">
        <f>+(C71-C70)/(B71-B70)</f>
        <v>3.5000000000000133</v>
      </c>
      <c r="E70" s="31">
        <f>+C70-D70*B70</f>
        <v>1.0229999999999995</v>
      </c>
      <c r="F70" s="5"/>
      <c r="G70" s="5"/>
      <c r="H70" s="5"/>
      <c r="I70" s="5"/>
      <c r="J70" s="5"/>
      <c r="K70" s="5"/>
      <c r="L70" s="5"/>
      <c r="M70" s="5"/>
      <c r="N70" s="7"/>
    </row>
    <row r="71" spans="2:14" ht="12.75">
      <c r="B71" s="35">
        <v>0.04</v>
      </c>
      <c r="C71" s="5">
        <v>1.163</v>
      </c>
      <c r="D71" s="31">
        <f>+(C72-C71)/(B72-B71)</f>
        <v>2.899999999999991</v>
      </c>
      <c r="E71" s="31">
        <f>+C71-D71*B71</f>
        <v>1.0470000000000004</v>
      </c>
      <c r="F71" s="5"/>
      <c r="G71" s="5"/>
      <c r="H71" s="5"/>
      <c r="I71" s="5"/>
      <c r="J71" s="5"/>
      <c r="K71" s="5"/>
      <c r="L71" s="5"/>
      <c r="M71" s="5"/>
      <c r="N71" s="7"/>
    </row>
    <row r="72" spans="2:14" ht="12.75">
      <c r="B72" s="35">
        <v>0.05</v>
      </c>
      <c r="C72" s="5">
        <v>1.192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7"/>
    </row>
    <row r="73" spans="2:14" ht="12.75">
      <c r="B73" s="3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7"/>
    </row>
    <row r="74" spans="2:14" ht="12.75">
      <c r="B74" s="3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7"/>
    </row>
    <row r="75" spans="2:14" ht="12.75">
      <c r="B75" s="3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7"/>
    </row>
    <row r="76" spans="2:14" ht="12.75">
      <c r="B76" s="3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7"/>
    </row>
    <row r="77" spans="2:14" ht="12.75">
      <c r="B77" s="3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7"/>
    </row>
    <row r="78" spans="2:14" ht="12.75"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7"/>
    </row>
    <row r="79" spans="2:14" ht="12.75"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7"/>
    </row>
    <row r="80" spans="2:14" ht="12.75">
      <c r="B80" s="36" t="s">
        <v>37</v>
      </c>
      <c r="C80" s="6">
        <v>0.022</v>
      </c>
      <c r="D80" s="5"/>
      <c r="F80" s="5"/>
      <c r="G80" s="5"/>
      <c r="H80" s="5"/>
      <c r="I80" s="5"/>
      <c r="J80" s="5"/>
      <c r="K80" s="5"/>
      <c r="L80" s="5"/>
      <c r="M80" s="5"/>
      <c r="N80" s="7"/>
    </row>
    <row r="81" spans="2:14" ht="12.75">
      <c r="B81" s="36" t="s">
        <v>97</v>
      </c>
      <c r="C81" s="76">
        <f>IF(C80&lt;=0,1,IF(C80&gt;=0.05,1.192,VLOOKUP(C80,T!$B$67:$E$72,3)*C80+VLOOKUP(C80,T!$B$67:$E$72,4)))</f>
        <v>1.096</v>
      </c>
      <c r="D81" s="5"/>
      <c r="E81" s="37"/>
      <c r="F81" s="5"/>
      <c r="G81" s="5"/>
      <c r="H81" s="5"/>
      <c r="I81" s="5"/>
      <c r="J81" s="5"/>
      <c r="K81" s="5"/>
      <c r="L81" s="5"/>
      <c r="M81" s="5"/>
      <c r="N81" s="7"/>
    </row>
    <row r="82" spans="2:14" ht="13.5" thickBot="1"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2"/>
    </row>
    <row r="83" spans="2:20" ht="13.5" thickBo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2:20" ht="12.75">
      <c r="B84" s="19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3"/>
      <c r="Q84" s="5"/>
      <c r="R84" s="5"/>
      <c r="S84" s="5"/>
      <c r="T84" s="5"/>
    </row>
    <row r="85" spans="2:16" ht="12.75">
      <c r="B85" s="4" t="s">
        <v>29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7"/>
    </row>
    <row r="86" spans="2:16" ht="12.75"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7"/>
    </row>
    <row r="87" spans="2:16" ht="12.75"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7"/>
    </row>
    <row r="88" spans="2:16" ht="13.5" thickBot="1">
      <c r="B88" s="29" t="s">
        <v>30</v>
      </c>
      <c r="C88" s="18" t="s">
        <v>31</v>
      </c>
      <c r="D88" s="18" t="s">
        <v>35</v>
      </c>
      <c r="E88" s="18" t="s">
        <v>36</v>
      </c>
      <c r="F88" s="18" t="s">
        <v>30</v>
      </c>
      <c r="G88" s="18" t="s">
        <v>31</v>
      </c>
      <c r="H88" s="5"/>
      <c r="I88" s="5"/>
      <c r="J88" s="5"/>
      <c r="K88" s="5"/>
      <c r="L88" s="5"/>
      <c r="M88" s="5"/>
      <c r="N88" s="5"/>
      <c r="O88" s="5"/>
      <c r="P88" s="7"/>
    </row>
    <row r="89" spans="2:16" ht="12.75"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7"/>
    </row>
    <row r="90" spans="2:16" ht="12.75">
      <c r="B90" s="35">
        <v>0</v>
      </c>
      <c r="C90" s="9">
        <v>1</v>
      </c>
      <c r="D90" s="21">
        <f>+(C91-C90)/(B91-B90)</f>
        <v>-1.0000000000000009</v>
      </c>
      <c r="E90" s="21">
        <f>+C90-D90*B90</f>
        <v>1</v>
      </c>
      <c r="F90" s="32">
        <v>0.09</v>
      </c>
      <c r="G90" s="33">
        <f>IF(F90&lt;=0,1,IF(F90&gt;=1,0.9,VLOOKUP(F90,T!$B$90:$E$109,3)*F90+VLOOKUP(F90,T!$B$90:$E$109,4)))</f>
        <v>0.93</v>
      </c>
      <c r="H90" s="5"/>
      <c r="I90" s="5"/>
      <c r="J90" s="5"/>
      <c r="K90" s="5"/>
      <c r="L90" s="5"/>
      <c r="M90" s="5"/>
      <c r="N90" s="5"/>
      <c r="O90" s="5"/>
      <c r="P90" s="7"/>
    </row>
    <row r="91" spans="2:16" ht="12.75">
      <c r="B91" s="35">
        <v>0.01</v>
      </c>
      <c r="C91" s="9">
        <v>0.99</v>
      </c>
      <c r="D91" s="21">
        <f aca="true" t="shared" si="4" ref="D91:D108">+(C92-C91)/(B92-B91)</f>
        <v>-1.0000000000000009</v>
      </c>
      <c r="E91" s="21">
        <f aca="true" t="shared" si="5" ref="E91:E108">+C91-D91*B91</f>
        <v>1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7"/>
    </row>
    <row r="92" spans="2:16" ht="12.75">
      <c r="B92" s="35">
        <v>0.02</v>
      </c>
      <c r="C92" s="9">
        <v>0.98</v>
      </c>
      <c r="D92" s="21">
        <f t="shared" si="4"/>
        <v>0</v>
      </c>
      <c r="E92" s="21">
        <f t="shared" si="5"/>
        <v>0.98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7"/>
    </row>
    <row r="93" spans="2:16" ht="12.75">
      <c r="B93" s="35">
        <v>0.03</v>
      </c>
      <c r="C93" s="9">
        <v>0.98</v>
      </c>
      <c r="D93" s="21">
        <f t="shared" si="4"/>
        <v>-1.0000000000000007</v>
      </c>
      <c r="E93" s="21">
        <f t="shared" si="5"/>
        <v>1.01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7"/>
    </row>
    <row r="94" spans="2:16" ht="12.75">
      <c r="B94" s="35">
        <v>0.04</v>
      </c>
      <c r="C94" s="9">
        <v>0.97</v>
      </c>
      <c r="D94" s="21">
        <f t="shared" si="4"/>
        <v>-1.0000000000000007</v>
      </c>
      <c r="E94" s="21">
        <f t="shared" si="5"/>
        <v>1.01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7"/>
    </row>
    <row r="95" spans="2:16" ht="12.75">
      <c r="B95" s="35">
        <v>0.05</v>
      </c>
      <c r="C95" s="9">
        <v>0.96</v>
      </c>
      <c r="D95" s="21">
        <f t="shared" si="4"/>
        <v>-1.0000000000000013</v>
      </c>
      <c r="E95" s="21">
        <f t="shared" si="5"/>
        <v>1.01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7"/>
    </row>
    <row r="96" spans="2:16" ht="12.75">
      <c r="B96" s="35">
        <v>0.06</v>
      </c>
      <c r="C96" s="9">
        <v>0.95</v>
      </c>
      <c r="D96" s="21">
        <f t="shared" si="4"/>
        <v>-1</v>
      </c>
      <c r="E96" s="21">
        <f t="shared" si="5"/>
        <v>1.01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7"/>
    </row>
    <row r="97" spans="2:16" ht="12.75">
      <c r="B97" s="35">
        <v>0.07</v>
      </c>
      <c r="C97" s="9">
        <v>0.94</v>
      </c>
      <c r="D97" s="21">
        <f t="shared" si="4"/>
        <v>0</v>
      </c>
      <c r="E97" s="21">
        <f t="shared" si="5"/>
        <v>0.94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7"/>
    </row>
    <row r="98" spans="2:16" ht="12.75">
      <c r="B98" s="35">
        <v>0.08</v>
      </c>
      <c r="C98" s="9">
        <v>0.94</v>
      </c>
      <c r="D98" s="21">
        <f t="shared" si="4"/>
        <v>-0.9999999999999902</v>
      </c>
      <c r="E98" s="21">
        <f t="shared" si="5"/>
        <v>1.0199999999999991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7"/>
    </row>
    <row r="99" spans="2:16" ht="12.75">
      <c r="B99" s="35">
        <v>0.09</v>
      </c>
      <c r="C99" s="9">
        <v>0.93</v>
      </c>
      <c r="D99" s="21">
        <f t="shared" si="4"/>
        <v>-1</v>
      </c>
      <c r="E99" s="21">
        <f t="shared" si="5"/>
        <v>1.02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7"/>
    </row>
    <row r="100" spans="2:16" ht="12.75">
      <c r="B100" s="35">
        <v>0.1</v>
      </c>
      <c r="C100" s="9">
        <v>0.92</v>
      </c>
      <c r="D100" s="21">
        <f t="shared" si="4"/>
        <v>0</v>
      </c>
      <c r="E100" s="21">
        <f t="shared" si="5"/>
        <v>0.92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7"/>
    </row>
    <row r="101" spans="2:16" ht="12.75">
      <c r="B101" s="35">
        <v>0.2</v>
      </c>
      <c r="C101" s="9">
        <v>0.92</v>
      </c>
      <c r="D101" s="21">
        <f t="shared" si="4"/>
        <v>0</v>
      </c>
      <c r="E101" s="21">
        <f t="shared" si="5"/>
        <v>0.92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7"/>
    </row>
    <row r="102" spans="2:16" ht="12.75">
      <c r="B102" s="35">
        <v>0.3</v>
      </c>
      <c r="C102" s="9">
        <v>0.92</v>
      </c>
      <c r="D102" s="21">
        <f t="shared" si="4"/>
        <v>-0.10000000000000006</v>
      </c>
      <c r="E102" s="21">
        <f t="shared" si="5"/>
        <v>0.9500000000000001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7"/>
    </row>
    <row r="103" spans="2:16" ht="12.75">
      <c r="B103" s="35">
        <v>0.4</v>
      </c>
      <c r="C103" s="9">
        <v>0.91</v>
      </c>
      <c r="D103" s="21">
        <f t="shared" si="4"/>
        <v>0</v>
      </c>
      <c r="E103" s="21">
        <f t="shared" si="5"/>
        <v>0.91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7"/>
    </row>
    <row r="104" spans="2:16" ht="12.75">
      <c r="B104" s="35">
        <v>0.5</v>
      </c>
      <c r="C104" s="9">
        <v>0.91</v>
      </c>
      <c r="D104" s="21">
        <f t="shared" si="4"/>
        <v>0</v>
      </c>
      <c r="E104" s="21">
        <f t="shared" si="5"/>
        <v>0.91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7"/>
    </row>
    <row r="105" spans="2:16" ht="12.75">
      <c r="B105" s="35">
        <v>0.6</v>
      </c>
      <c r="C105" s="9">
        <v>0.91</v>
      </c>
      <c r="D105" s="21">
        <f t="shared" si="4"/>
        <v>0</v>
      </c>
      <c r="E105" s="21">
        <f t="shared" si="5"/>
        <v>0.91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7"/>
    </row>
    <row r="106" spans="2:16" ht="12.75">
      <c r="B106" s="35">
        <v>0.7</v>
      </c>
      <c r="C106" s="9">
        <v>0.91</v>
      </c>
      <c r="D106" s="21">
        <f t="shared" si="4"/>
        <v>-0.1</v>
      </c>
      <c r="E106" s="21">
        <f t="shared" si="5"/>
        <v>0.98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7"/>
    </row>
    <row r="107" spans="2:16" ht="12.75">
      <c r="B107" s="35">
        <v>0.8</v>
      </c>
      <c r="C107" s="9">
        <v>0.9</v>
      </c>
      <c r="D107" s="21">
        <f t="shared" si="4"/>
        <v>0</v>
      </c>
      <c r="E107" s="21">
        <f t="shared" si="5"/>
        <v>0.9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7"/>
    </row>
    <row r="108" spans="2:16" ht="12.75">
      <c r="B108" s="35">
        <v>0.9</v>
      </c>
      <c r="C108" s="9">
        <v>0.9</v>
      </c>
      <c r="D108" s="21">
        <f t="shared" si="4"/>
        <v>0</v>
      </c>
      <c r="E108" s="21">
        <f t="shared" si="5"/>
        <v>0.9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7"/>
    </row>
    <row r="109" spans="2:16" ht="12.75">
      <c r="B109" s="35">
        <v>1</v>
      </c>
      <c r="C109" s="9">
        <v>0.9</v>
      </c>
      <c r="D109" s="21"/>
      <c r="E109" s="21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7"/>
    </row>
    <row r="110" spans="2:16" ht="13.5" thickBot="1">
      <c r="B110" s="1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2"/>
    </row>
    <row r="111" ht="13.5" thickBot="1"/>
    <row r="112" spans="2:16" ht="12.75">
      <c r="B112" s="1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3"/>
    </row>
    <row r="113" spans="2:16" ht="12.75">
      <c r="B113" s="4" t="s">
        <v>32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7"/>
    </row>
    <row r="114" spans="2:16" ht="12.75"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7"/>
    </row>
    <row r="115" spans="2:16" ht="13.5" thickBot="1">
      <c r="B115" s="29" t="s">
        <v>21</v>
      </c>
      <c r="C115" s="18" t="s">
        <v>22</v>
      </c>
      <c r="D115" s="18" t="s">
        <v>35</v>
      </c>
      <c r="E115" s="18" t="s">
        <v>36</v>
      </c>
      <c r="F115" s="18" t="s">
        <v>21</v>
      </c>
      <c r="G115" s="18" t="s">
        <v>22</v>
      </c>
      <c r="H115" s="5"/>
      <c r="I115" s="5"/>
      <c r="J115" s="5"/>
      <c r="K115" s="5"/>
      <c r="L115" s="5"/>
      <c r="M115" s="5"/>
      <c r="N115" s="5"/>
      <c r="O115" s="5"/>
      <c r="P115" s="7"/>
    </row>
    <row r="116" spans="2:16" ht="12.75"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7"/>
    </row>
    <row r="117" spans="2:16" ht="12.75">
      <c r="B117" s="34">
        <v>0.4</v>
      </c>
      <c r="C117" s="25">
        <v>0.881</v>
      </c>
      <c r="D117" s="21">
        <f>+(C118-C117)/(B118-B117)</f>
        <v>0.09500000000000011</v>
      </c>
      <c r="E117" s="21">
        <f>+C117-D117*B117</f>
        <v>0.843</v>
      </c>
      <c r="F117" s="32">
        <v>0.5</v>
      </c>
      <c r="G117" s="33">
        <f>IF(F117&lt;=0.4,0.881,IF(F117&gt;=1.4,0.763,VLOOKUP(F117,T!$B$117:$E$122,3)*F117+VLOOKUP(F117,T!$B$117:$E$122,4)))</f>
        <v>0.8905000000000001</v>
      </c>
      <c r="H117" s="5"/>
      <c r="I117" s="5"/>
      <c r="J117" s="5"/>
      <c r="K117" s="5"/>
      <c r="L117" s="5"/>
      <c r="M117" s="5"/>
      <c r="N117" s="5"/>
      <c r="O117" s="5"/>
      <c r="P117" s="7"/>
    </row>
    <row r="118" spans="2:16" ht="12.75">
      <c r="B118" s="34">
        <v>0.6</v>
      </c>
      <c r="C118" s="25">
        <v>0.9</v>
      </c>
      <c r="D118" s="21">
        <f>+(C119-C118)/(B119-B118)</f>
        <v>-0.02000000000000001</v>
      </c>
      <c r="E118" s="21">
        <f>+C118-D118*B118</f>
        <v>0.912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7"/>
    </row>
    <row r="119" spans="2:16" ht="12.75">
      <c r="B119" s="34">
        <v>0.8</v>
      </c>
      <c r="C119" s="25">
        <v>0.896</v>
      </c>
      <c r="D119" s="21">
        <f>+(C120-C119)/(B120-B119)</f>
        <v>-0.14500000000000016</v>
      </c>
      <c r="E119" s="21">
        <f>+C119-D119*B119</f>
        <v>1.0120000000000002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7"/>
    </row>
    <row r="120" spans="2:16" ht="12.75">
      <c r="B120" s="34">
        <v>1</v>
      </c>
      <c r="C120" s="25">
        <v>0.867</v>
      </c>
      <c r="D120" s="21">
        <f>+(C121-C120)/(B121-B120)</f>
        <v>-0.22500000000000026</v>
      </c>
      <c r="E120" s="21">
        <f>+C120-D120*B120</f>
        <v>1.0920000000000003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7"/>
    </row>
    <row r="121" spans="2:16" ht="12.75">
      <c r="B121" s="34">
        <v>1.2</v>
      </c>
      <c r="C121" s="25">
        <v>0.822</v>
      </c>
      <c r="D121" s="21">
        <f>+(C122-C121)/(B122-B121)</f>
        <v>-0.29499999999999976</v>
      </c>
      <c r="E121" s="21">
        <f>+C121-D121*B121</f>
        <v>1.1759999999999997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7"/>
    </row>
    <row r="122" spans="2:16" ht="12.75">
      <c r="B122" s="34">
        <v>1.4</v>
      </c>
      <c r="C122" s="25">
        <v>0.763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7"/>
    </row>
    <row r="123" spans="2:16" ht="12.75"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7"/>
    </row>
    <row r="124" spans="2:16" ht="12.75"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7"/>
    </row>
    <row r="125" spans="2:16" ht="12.75"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7"/>
    </row>
    <row r="126" spans="2:16" ht="12.75"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7"/>
    </row>
    <row r="127" spans="2:16" ht="12.75"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7"/>
    </row>
    <row r="128" spans="2:16" ht="12.75"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7"/>
    </row>
    <row r="129" spans="2:16" ht="12.75"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7"/>
    </row>
    <row r="130" spans="2:16" ht="13.5" thickBot="1">
      <c r="B130" s="1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2"/>
    </row>
    <row r="131" spans="2:1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2:19" ht="13.5" thickBo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2:19" ht="12.75">
      <c r="B133" s="19" t="s">
        <v>33</v>
      </c>
      <c r="C133" s="2"/>
      <c r="D133" s="15" t="s">
        <v>22</v>
      </c>
      <c r="E133" s="3"/>
      <c r="F133" s="5"/>
      <c r="G133" s="17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2:19" ht="12.75">
      <c r="B134" s="4"/>
      <c r="C134" s="5"/>
      <c r="D134" s="5" t="s">
        <v>34</v>
      </c>
      <c r="E134" s="7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2:19" ht="12.75">
      <c r="B135" s="27" t="s">
        <v>21</v>
      </c>
      <c r="C135" s="9">
        <v>0</v>
      </c>
      <c r="D135" s="8">
        <f>+'IO'!K9</f>
        <v>0.0125</v>
      </c>
      <c r="E135" s="20">
        <v>0.14</v>
      </c>
      <c r="F135" s="9"/>
      <c r="G135" s="9"/>
      <c r="H135" s="9"/>
      <c r="I135" s="9"/>
      <c r="J135" s="9">
        <v>0.14</v>
      </c>
      <c r="K135" s="5"/>
      <c r="L135" s="5"/>
      <c r="M135" s="5"/>
      <c r="N135" s="5"/>
      <c r="O135" s="5"/>
      <c r="P135" s="5"/>
      <c r="Q135" s="5"/>
      <c r="R135" s="5"/>
      <c r="S135" s="5"/>
    </row>
    <row r="136" spans="2:19" ht="12.75">
      <c r="B136" s="4"/>
      <c r="C136" s="5"/>
      <c r="D136" s="5"/>
      <c r="E136" s="7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2:26" ht="12.75">
      <c r="B137" s="34">
        <v>1.4</v>
      </c>
      <c r="C137" s="9">
        <v>0.44</v>
      </c>
      <c r="D137" s="9">
        <f>+($D$135/($E$135-$C$135))*(E137-C137)+C137</f>
        <v>0.44625</v>
      </c>
      <c r="E137" s="20">
        <v>0.51</v>
      </c>
      <c r="F137" s="9"/>
      <c r="G137" s="9"/>
      <c r="H137" s="9"/>
      <c r="I137" s="9"/>
      <c r="J137" s="9">
        <v>0.51</v>
      </c>
      <c r="K137" s="5"/>
      <c r="L137" s="9"/>
      <c r="M137" s="9"/>
      <c r="N137" s="9"/>
      <c r="O137" s="9"/>
      <c r="P137" s="9"/>
      <c r="Q137" s="9"/>
      <c r="R137" s="9"/>
      <c r="S137" s="9"/>
      <c r="T137" s="1"/>
      <c r="U137" s="1"/>
      <c r="V137" s="1"/>
      <c r="W137" s="1"/>
      <c r="X137" s="1"/>
      <c r="Y137" s="1"/>
      <c r="Z137" s="1"/>
    </row>
    <row r="138" spans="2:26" ht="12.75">
      <c r="B138" s="34">
        <v>1.5</v>
      </c>
      <c r="C138" s="9">
        <v>0.46</v>
      </c>
      <c r="D138" s="9">
        <f aca="true" t="shared" si="6" ref="D138:D148">+($D$135/($E$135-$C$135))*(E138-C138)+C138</f>
        <v>0.46714285714285714</v>
      </c>
      <c r="E138" s="20">
        <v>0.54</v>
      </c>
      <c r="F138" s="9"/>
      <c r="G138" s="9"/>
      <c r="H138" s="9"/>
      <c r="I138" s="9"/>
      <c r="J138" s="9">
        <v>0.54</v>
      </c>
      <c r="K138" s="5"/>
      <c r="L138" s="9"/>
      <c r="M138" s="9"/>
      <c r="N138" s="9"/>
      <c r="O138" s="9"/>
      <c r="P138" s="9"/>
      <c r="Q138" s="9"/>
      <c r="R138" s="9"/>
      <c r="S138" s="5"/>
      <c r="T138" s="1"/>
      <c r="U138" s="1"/>
      <c r="V138" s="1"/>
      <c r="W138" s="1"/>
      <c r="X138" s="1"/>
      <c r="Y138" s="1"/>
      <c r="Z138" s="1"/>
    </row>
    <row r="139" spans="2:26" ht="12.75">
      <c r="B139" s="34">
        <v>1.6</v>
      </c>
      <c r="C139" s="9">
        <v>0.47</v>
      </c>
      <c r="D139" s="9">
        <f t="shared" si="6"/>
        <v>0.4780357142857143</v>
      </c>
      <c r="E139" s="20">
        <v>0.56</v>
      </c>
      <c r="F139" s="9"/>
      <c r="G139" s="9"/>
      <c r="H139" s="9"/>
      <c r="I139" s="9"/>
      <c r="J139" s="9">
        <v>0.56</v>
      </c>
      <c r="K139" s="5"/>
      <c r="L139" s="9"/>
      <c r="M139" s="9"/>
      <c r="N139" s="9"/>
      <c r="O139" s="9"/>
      <c r="P139" s="9"/>
      <c r="Q139" s="9"/>
      <c r="R139" s="9"/>
      <c r="S139" s="5"/>
      <c r="T139" s="1"/>
      <c r="U139" s="1"/>
      <c r="V139" s="1"/>
      <c r="W139" s="1"/>
      <c r="X139" s="1"/>
      <c r="Y139" s="1"/>
      <c r="Z139" s="1"/>
    </row>
    <row r="140" spans="2:26" ht="12.75">
      <c r="B140" s="34">
        <v>1.7</v>
      </c>
      <c r="C140" s="9">
        <v>0.48</v>
      </c>
      <c r="D140" s="9">
        <f t="shared" si="6"/>
        <v>0.48803571428571424</v>
      </c>
      <c r="E140" s="20">
        <v>0.57</v>
      </c>
      <c r="F140" s="9"/>
      <c r="G140" s="9"/>
      <c r="H140" s="9"/>
      <c r="I140" s="9"/>
      <c r="J140" s="9">
        <v>0.57</v>
      </c>
      <c r="K140" s="5"/>
      <c r="L140" s="9"/>
      <c r="M140" s="9"/>
      <c r="N140" s="9"/>
      <c r="O140" s="9"/>
      <c r="P140" s="9"/>
      <c r="Q140" s="9"/>
      <c r="R140" s="9"/>
      <c r="S140" s="5"/>
      <c r="T140" s="1"/>
      <c r="U140" s="1"/>
      <c r="V140" s="1"/>
      <c r="W140" s="1"/>
      <c r="X140" s="1"/>
      <c r="Y140" s="1"/>
      <c r="Z140" s="1"/>
    </row>
    <row r="141" spans="2:26" ht="12.75">
      <c r="B141" s="34">
        <v>1.8</v>
      </c>
      <c r="C141" s="9">
        <v>0.49</v>
      </c>
      <c r="D141" s="9">
        <f t="shared" si="6"/>
        <v>0.49803571428571425</v>
      </c>
      <c r="E141" s="20">
        <v>0.58</v>
      </c>
      <c r="F141" s="9"/>
      <c r="G141" s="9"/>
      <c r="H141" s="9"/>
      <c r="I141" s="9"/>
      <c r="J141" s="9">
        <v>0.58</v>
      </c>
      <c r="K141" s="5"/>
      <c r="L141" s="9"/>
      <c r="M141" s="9"/>
      <c r="N141" s="9"/>
      <c r="O141" s="9"/>
      <c r="P141" s="9"/>
      <c r="Q141" s="9"/>
      <c r="R141" s="9"/>
      <c r="S141" s="5"/>
      <c r="T141" s="1"/>
      <c r="U141" s="1"/>
      <c r="V141" s="1"/>
      <c r="W141" s="1"/>
      <c r="X141" s="1"/>
      <c r="Y141" s="1"/>
      <c r="Z141" s="1"/>
    </row>
    <row r="142" spans="2:26" ht="12.75">
      <c r="B142" s="34">
        <v>1.9</v>
      </c>
      <c r="C142" s="9">
        <v>0.5</v>
      </c>
      <c r="D142" s="9">
        <f t="shared" si="6"/>
        <v>0.5089285714285714</v>
      </c>
      <c r="E142" s="20">
        <v>0.6</v>
      </c>
      <c r="F142" s="9"/>
      <c r="G142" s="9"/>
      <c r="H142" s="9"/>
      <c r="I142" s="9"/>
      <c r="J142" s="9">
        <v>0.6</v>
      </c>
      <c r="K142" s="5"/>
      <c r="L142" s="9"/>
      <c r="M142" s="9"/>
      <c r="N142" s="9"/>
      <c r="O142" s="9"/>
      <c r="P142" s="9"/>
      <c r="Q142" s="9"/>
      <c r="R142" s="9"/>
      <c r="S142" s="5"/>
      <c r="T142" s="1"/>
      <c r="U142" s="1"/>
      <c r="V142" s="1"/>
      <c r="W142" s="1"/>
      <c r="X142" s="1"/>
      <c r="Y142" s="1"/>
      <c r="Z142" s="1"/>
    </row>
    <row r="143" spans="2:26" ht="12.75">
      <c r="B143" s="34">
        <v>2</v>
      </c>
      <c r="C143" s="9">
        <v>0.51</v>
      </c>
      <c r="D143" s="9">
        <f t="shared" si="6"/>
        <v>0.5198214285714285</v>
      </c>
      <c r="E143" s="20">
        <v>0.62</v>
      </c>
      <c r="F143" s="9"/>
      <c r="G143" s="9"/>
      <c r="H143" s="9"/>
      <c r="I143" s="9"/>
      <c r="J143" s="9">
        <v>0.62</v>
      </c>
      <c r="K143" s="5"/>
      <c r="L143" s="9"/>
      <c r="M143" s="9"/>
      <c r="N143" s="9"/>
      <c r="O143" s="9"/>
      <c r="P143" s="9"/>
      <c r="Q143" s="9"/>
      <c r="R143" s="9"/>
      <c r="S143" s="5"/>
      <c r="T143" s="1"/>
      <c r="U143" s="1"/>
      <c r="V143" s="1"/>
      <c r="W143" s="1"/>
      <c r="X143" s="1"/>
      <c r="Y143" s="1"/>
      <c r="Z143" s="1"/>
    </row>
    <row r="144" spans="2:26" ht="12.75">
      <c r="B144" s="34">
        <v>2.5</v>
      </c>
      <c r="C144" s="9">
        <v>0.54</v>
      </c>
      <c r="D144" s="9">
        <f t="shared" si="6"/>
        <v>0.5507142857142857</v>
      </c>
      <c r="E144" s="20">
        <v>0.66</v>
      </c>
      <c r="F144" s="9"/>
      <c r="G144" s="9"/>
      <c r="H144" s="9"/>
      <c r="I144" s="9"/>
      <c r="J144" s="9">
        <v>0.66</v>
      </c>
      <c r="K144" s="5"/>
      <c r="L144" s="9"/>
      <c r="M144" s="9"/>
      <c r="N144" s="9"/>
      <c r="O144" s="9"/>
      <c r="P144" s="9"/>
      <c r="Q144" s="9"/>
      <c r="R144" s="9"/>
      <c r="S144" s="5"/>
      <c r="T144" s="1"/>
      <c r="U144" s="1"/>
      <c r="V144" s="1"/>
      <c r="W144" s="1"/>
      <c r="X144" s="1"/>
      <c r="Y144" s="1"/>
      <c r="Z144" s="1"/>
    </row>
    <row r="145" spans="2:26" ht="12.75">
      <c r="B145" s="34">
        <v>3</v>
      </c>
      <c r="C145" s="9">
        <v>0.55</v>
      </c>
      <c r="D145" s="9">
        <f t="shared" si="6"/>
        <v>0.5633928571428571</v>
      </c>
      <c r="E145" s="20">
        <v>0.7</v>
      </c>
      <c r="F145" s="9"/>
      <c r="G145" s="9"/>
      <c r="H145" s="9"/>
      <c r="I145" s="9"/>
      <c r="J145" s="9">
        <v>0.7</v>
      </c>
      <c r="K145" s="5"/>
      <c r="L145" s="9"/>
      <c r="M145" s="9"/>
      <c r="N145" s="9"/>
      <c r="O145" s="9"/>
      <c r="P145" s="9"/>
      <c r="Q145" s="9"/>
      <c r="R145" s="9"/>
      <c r="S145" s="5"/>
      <c r="T145" s="1"/>
      <c r="U145" s="1"/>
      <c r="V145" s="1"/>
      <c r="W145" s="1"/>
      <c r="X145" s="1"/>
      <c r="Y145" s="1"/>
      <c r="Z145" s="1"/>
    </row>
    <row r="146" spans="2:26" ht="12.75">
      <c r="B146" s="34">
        <v>3.5</v>
      </c>
      <c r="C146" s="9">
        <v>0.57</v>
      </c>
      <c r="D146" s="9">
        <f t="shared" si="6"/>
        <v>0.5824999999999999</v>
      </c>
      <c r="E146" s="20">
        <v>0.71</v>
      </c>
      <c r="F146" s="9"/>
      <c r="G146" s="9"/>
      <c r="H146" s="9"/>
      <c r="I146" s="9"/>
      <c r="J146" s="9">
        <v>0.71</v>
      </c>
      <c r="K146" s="5"/>
      <c r="L146" s="9"/>
      <c r="M146" s="9"/>
      <c r="N146" s="9"/>
      <c r="O146" s="9"/>
      <c r="P146" s="9"/>
      <c r="Q146" s="9"/>
      <c r="R146" s="9"/>
      <c r="S146" s="5"/>
      <c r="T146" s="1"/>
      <c r="U146" s="1"/>
      <c r="V146" s="1"/>
      <c r="W146" s="1"/>
      <c r="X146" s="1"/>
      <c r="Y146" s="1"/>
      <c r="Z146" s="1"/>
    </row>
    <row r="147" spans="2:26" ht="12.75">
      <c r="B147" s="34">
        <v>4</v>
      </c>
      <c r="C147" s="9">
        <v>0.58</v>
      </c>
      <c r="D147" s="9">
        <f t="shared" si="6"/>
        <v>0.5924999999999999</v>
      </c>
      <c r="E147" s="20">
        <v>0.72</v>
      </c>
      <c r="F147" s="9"/>
      <c r="G147" s="9"/>
      <c r="H147" s="9"/>
      <c r="I147" s="9"/>
      <c r="J147" s="9">
        <v>0.72</v>
      </c>
      <c r="K147" s="5"/>
      <c r="L147" s="9"/>
      <c r="M147" s="9"/>
      <c r="N147" s="9"/>
      <c r="O147" s="9"/>
      <c r="P147" s="9"/>
      <c r="Q147" s="9"/>
      <c r="R147" s="9"/>
      <c r="S147" s="5"/>
      <c r="T147" s="1"/>
      <c r="U147" s="1"/>
      <c r="V147" s="1"/>
      <c r="W147" s="1"/>
      <c r="X147" s="1"/>
      <c r="Y147" s="1"/>
      <c r="Z147" s="1"/>
    </row>
    <row r="148" spans="2:26" ht="13.5" thickBot="1">
      <c r="B148" s="71">
        <v>5</v>
      </c>
      <c r="C148" s="22">
        <v>0.59</v>
      </c>
      <c r="D148" s="22">
        <f t="shared" si="6"/>
        <v>0.6024999999999999</v>
      </c>
      <c r="E148" s="23">
        <v>0.73</v>
      </c>
      <c r="F148" s="9"/>
      <c r="G148" s="9"/>
      <c r="H148" s="9"/>
      <c r="I148" s="9"/>
      <c r="J148" s="9">
        <v>0.73</v>
      </c>
      <c r="K148" s="5"/>
      <c r="L148" s="9"/>
      <c r="M148" s="9"/>
      <c r="N148" s="9"/>
      <c r="O148" s="9"/>
      <c r="P148" s="9"/>
      <c r="Q148" s="9"/>
      <c r="R148" s="9"/>
      <c r="S148" s="5"/>
      <c r="T148" s="1"/>
      <c r="U148" s="1"/>
      <c r="V148" s="1"/>
      <c r="W148" s="1"/>
      <c r="X148" s="1"/>
      <c r="Y148" s="1"/>
      <c r="Z148" s="1"/>
    </row>
    <row r="149" spans="2:19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2:19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2:19" ht="13.5" thickBot="1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2:9" ht="12.75">
      <c r="B152" s="19"/>
      <c r="C152" s="2"/>
      <c r="D152" s="2"/>
      <c r="E152" s="2"/>
      <c r="F152" s="2"/>
      <c r="G152" s="2"/>
      <c r="H152" s="2"/>
      <c r="I152" s="3"/>
    </row>
    <row r="153" spans="2:9" ht="12.75">
      <c r="B153" s="4" t="s">
        <v>42</v>
      </c>
      <c r="C153" s="5"/>
      <c r="D153" s="5"/>
      <c r="E153" s="5"/>
      <c r="F153" s="5"/>
      <c r="G153" s="5"/>
      <c r="H153" s="5"/>
      <c r="I153" s="7"/>
    </row>
    <row r="154" spans="2:9" ht="12.75">
      <c r="B154" s="4"/>
      <c r="C154" s="5"/>
      <c r="D154" s="5"/>
      <c r="E154" s="5"/>
      <c r="F154" s="5"/>
      <c r="G154" s="5"/>
      <c r="H154" s="5"/>
      <c r="I154" s="7"/>
    </row>
    <row r="155" spans="2:9" ht="13.5" thickBot="1">
      <c r="B155" s="29" t="s">
        <v>34</v>
      </c>
      <c r="C155" s="18" t="s">
        <v>22</v>
      </c>
      <c r="D155" s="18" t="s">
        <v>35</v>
      </c>
      <c r="E155" s="18" t="s">
        <v>36</v>
      </c>
      <c r="F155" s="18" t="s">
        <v>21</v>
      </c>
      <c r="G155" s="18" t="s">
        <v>22</v>
      </c>
      <c r="H155" s="5"/>
      <c r="I155" s="7"/>
    </row>
    <row r="156" spans="2:9" ht="12.75">
      <c r="B156" s="4"/>
      <c r="C156" s="5"/>
      <c r="D156" s="5"/>
      <c r="E156" s="5"/>
      <c r="F156" s="5"/>
      <c r="G156" s="5"/>
      <c r="H156" s="5"/>
      <c r="I156" s="7"/>
    </row>
    <row r="157" spans="2:9" ht="12.75">
      <c r="B157" s="35">
        <v>0</v>
      </c>
      <c r="C157" s="9">
        <v>0.84</v>
      </c>
      <c r="D157" s="21">
        <f aca="true" t="shared" si="7" ref="D157:D162">+(C158-C157)/(B158-B157)</f>
        <v>2.0000000000000018</v>
      </c>
      <c r="E157" s="21">
        <f aca="true" t="shared" si="8" ref="E157:E162">+C157-D157*B157</f>
        <v>0.84</v>
      </c>
      <c r="F157" s="32">
        <v>0.05</v>
      </c>
      <c r="G157" s="33">
        <f>IF(F157&lt;=0,0.84,IF(F157&gt;=0.12,0.98,VLOOKUP(F157,T!$B$157:$E$163,3)*F157+VLOOKUP(F157,T!$B$157:$E$163,4)))</f>
        <v>0.925</v>
      </c>
      <c r="H157" s="5"/>
      <c r="I157" s="7"/>
    </row>
    <row r="158" spans="2:9" ht="12.75">
      <c r="B158" s="35">
        <v>0.02</v>
      </c>
      <c r="C158" s="9">
        <v>0.88</v>
      </c>
      <c r="D158" s="21">
        <f t="shared" si="7"/>
        <v>1.5000000000000013</v>
      </c>
      <c r="E158" s="21">
        <f t="shared" si="8"/>
        <v>0.85</v>
      </c>
      <c r="F158" s="5"/>
      <c r="G158" s="5"/>
      <c r="H158" s="5"/>
      <c r="I158" s="7"/>
    </row>
    <row r="159" spans="2:9" ht="12.75">
      <c r="B159" s="35">
        <v>0.04</v>
      </c>
      <c r="C159" s="9">
        <v>0.91</v>
      </c>
      <c r="D159" s="21">
        <f t="shared" si="7"/>
        <v>1.499999999999996</v>
      </c>
      <c r="E159" s="21">
        <f t="shared" si="8"/>
        <v>0.8500000000000002</v>
      </c>
      <c r="F159" s="5"/>
      <c r="G159" s="5"/>
      <c r="H159" s="5"/>
      <c r="I159" s="7"/>
    </row>
    <row r="160" spans="2:9" ht="12.75">
      <c r="B160" s="35">
        <v>0.06</v>
      </c>
      <c r="C160" s="9">
        <v>0.94</v>
      </c>
      <c r="D160" s="21">
        <f t="shared" si="7"/>
        <v>1.0000000000000007</v>
      </c>
      <c r="E160" s="21">
        <f t="shared" si="8"/>
        <v>0.8799999999999999</v>
      </c>
      <c r="F160" s="5"/>
      <c r="G160" s="5"/>
      <c r="H160" s="5"/>
      <c r="I160" s="7"/>
    </row>
    <row r="161" spans="2:9" ht="12.75">
      <c r="B161" s="35">
        <v>0.08</v>
      </c>
      <c r="C161" s="9">
        <v>0.96</v>
      </c>
      <c r="D161" s="21">
        <f t="shared" si="7"/>
        <v>0.5000000000000003</v>
      </c>
      <c r="E161" s="21">
        <f t="shared" si="8"/>
        <v>0.9199999999999999</v>
      </c>
      <c r="F161" s="5"/>
      <c r="G161" s="5"/>
      <c r="H161" s="5"/>
      <c r="I161" s="7"/>
    </row>
    <row r="162" spans="2:9" ht="12.75">
      <c r="B162" s="35">
        <v>0.1</v>
      </c>
      <c r="C162" s="9">
        <v>0.97</v>
      </c>
      <c r="D162" s="21">
        <f t="shared" si="7"/>
        <v>0.5000000000000007</v>
      </c>
      <c r="E162" s="21">
        <f t="shared" si="8"/>
        <v>0.9199999999999999</v>
      </c>
      <c r="F162" s="5"/>
      <c r="G162" s="5"/>
      <c r="H162" s="5"/>
      <c r="I162" s="7"/>
    </row>
    <row r="163" spans="2:9" ht="12.75">
      <c r="B163" s="35">
        <v>0.12</v>
      </c>
      <c r="C163" s="9">
        <v>0.98</v>
      </c>
      <c r="D163" s="5"/>
      <c r="E163" s="5"/>
      <c r="F163" s="5"/>
      <c r="G163" s="5"/>
      <c r="H163" s="5"/>
      <c r="I163" s="7"/>
    </row>
    <row r="164" spans="2:9" ht="13.5" thickBot="1">
      <c r="B164" s="10"/>
      <c r="C164" s="11"/>
      <c r="D164" s="11"/>
      <c r="E164" s="11"/>
      <c r="F164" s="11"/>
      <c r="G164" s="11"/>
      <c r="H164" s="11"/>
      <c r="I164" s="12"/>
    </row>
    <row r="167" spans="2:4" ht="15.75">
      <c r="B167" t="s">
        <v>116</v>
      </c>
      <c r="D167" t="s">
        <v>117</v>
      </c>
    </row>
    <row r="168" ht="13.5" thickBot="1"/>
    <row r="169" spans="2:7" ht="12.75">
      <c r="B169" s="19"/>
      <c r="C169" s="19"/>
      <c r="D169" s="2"/>
      <c r="E169" s="2"/>
      <c r="F169" s="2"/>
      <c r="G169" s="3"/>
    </row>
    <row r="170" spans="2:7" ht="12.75">
      <c r="B170" s="4"/>
      <c r="C170" s="87"/>
      <c r="D170" s="13"/>
      <c r="E170" s="13" t="s">
        <v>125</v>
      </c>
      <c r="F170" s="13"/>
      <c r="G170" s="81"/>
    </row>
    <row r="171" spans="2:7" ht="13.5" thickBot="1">
      <c r="B171" s="29" t="s">
        <v>119</v>
      </c>
      <c r="C171" s="29" t="s">
        <v>124</v>
      </c>
      <c r="D171" s="18" t="s">
        <v>120</v>
      </c>
      <c r="E171" s="18" t="s">
        <v>121</v>
      </c>
      <c r="F171" s="18" t="s">
        <v>122</v>
      </c>
      <c r="G171" s="82" t="s">
        <v>123</v>
      </c>
    </row>
    <row r="172" spans="2:7" ht="12.75">
      <c r="B172" s="34">
        <v>7.5</v>
      </c>
      <c r="C172" s="88">
        <v>0.01</v>
      </c>
      <c r="D172" s="25">
        <v>0.004</v>
      </c>
      <c r="E172" s="25">
        <v>0.001</v>
      </c>
      <c r="F172" s="25">
        <v>0</v>
      </c>
      <c r="G172" s="83">
        <v>0</v>
      </c>
    </row>
    <row r="173" spans="2:7" ht="12.75">
      <c r="B173" s="34">
        <v>10</v>
      </c>
      <c r="C173" s="88">
        <v>0.022</v>
      </c>
      <c r="D173" s="25">
        <v>0.014</v>
      </c>
      <c r="E173" s="25">
        <v>0.009</v>
      </c>
      <c r="F173" s="31">
        <v>0.005</v>
      </c>
      <c r="G173" s="84">
        <v>0.003</v>
      </c>
    </row>
    <row r="174" spans="2:7" ht="12.75">
      <c r="B174" s="34">
        <v>12.5</v>
      </c>
      <c r="C174" s="88">
        <v>0.034</v>
      </c>
      <c r="D174" s="25">
        <v>0.024</v>
      </c>
      <c r="E174" s="25">
        <v>0.016</v>
      </c>
      <c r="F174" s="31">
        <v>0.01</v>
      </c>
      <c r="G174" s="84">
        <v>0.006</v>
      </c>
    </row>
    <row r="175" spans="2:7" ht="12.75">
      <c r="B175" s="34">
        <v>15</v>
      </c>
      <c r="C175" s="88">
        <v>0.045</v>
      </c>
      <c r="D175" s="25">
        <v>0.034</v>
      </c>
      <c r="E175" s="25">
        <v>0.024</v>
      </c>
      <c r="F175" s="25">
        <v>0.016</v>
      </c>
      <c r="G175" s="83">
        <v>0.01</v>
      </c>
    </row>
    <row r="176" spans="2:7" ht="12.75">
      <c r="B176" s="34">
        <v>17.5</v>
      </c>
      <c r="C176" s="88">
        <v>0.057</v>
      </c>
      <c r="D176" s="25">
        <v>0.044</v>
      </c>
      <c r="E176" s="25">
        <v>0.032</v>
      </c>
      <c r="F176" s="25">
        <v>0.021</v>
      </c>
      <c r="G176" s="83">
        <v>0.014</v>
      </c>
    </row>
    <row r="177" spans="2:7" ht="12.75">
      <c r="B177" s="34">
        <v>20</v>
      </c>
      <c r="C177" s="88">
        <v>0.067</v>
      </c>
      <c r="D177" s="25">
        <v>0.053</v>
      </c>
      <c r="E177" s="25">
        <v>0.038</v>
      </c>
      <c r="F177" s="25">
        <v>0.025</v>
      </c>
      <c r="G177" s="83">
        <v>0.016</v>
      </c>
    </row>
    <row r="178" spans="2:7" ht="12.75">
      <c r="B178" s="34">
        <v>22.5</v>
      </c>
      <c r="C178" s="88">
        <v>0.078</v>
      </c>
      <c r="D178" s="25">
        <v>0.061</v>
      </c>
      <c r="E178" s="25">
        <v>0.044</v>
      </c>
      <c r="F178" s="25">
        <v>0.029</v>
      </c>
      <c r="G178" s="83">
        <v>0.017</v>
      </c>
    </row>
    <row r="179" spans="2:7" ht="12.75">
      <c r="B179" s="34">
        <v>25</v>
      </c>
      <c r="C179" s="88">
        <v>0.086</v>
      </c>
      <c r="D179" s="25">
        <v>0.065</v>
      </c>
      <c r="E179" s="25">
        <v>0.048</v>
      </c>
      <c r="F179" s="25">
        <v>0.032</v>
      </c>
      <c r="G179" s="83">
        <v>0.019</v>
      </c>
    </row>
    <row r="180" spans="2:7" ht="12.75">
      <c r="B180" s="34">
        <v>27.5</v>
      </c>
      <c r="C180" s="88">
        <v>0.089</v>
      </c>
      <c r="D180" s="25">
        <v>0.067</v>
      </c>
      <c r="E180" s="25">
        <v>0.052</v>
      </c>
      <c r="F180" s="25">
        <v>0.034</v>
      </c>
      <c r="G180" s="83">
        <v>0.02</v>
      </c>
    </row>
    <row r="181" spans="2:7" ht="12.75">
      <c r="B181" s="34">
        <v>30</v>
      </c>
      <c r="C181" s="88">
        <v>0.09</v>
      </c>
      <c r="D181" s="25">
        <v>0.069</v>
      </c>
      <c r="E181" s="25">
        <v>0.053</v>
      </c>
      <c r="F181" s="25">
        <v>0.035</v>
      </c>
      <c r="G181" s="83">
        <v>0.021</v>
      </c>
    </row>
    <row r="182" spans="2:7" ht="13.5" thickBot="1">
      <c r="B182" s="71">
        <v>35</v>
      </c>
      <c r="C182" s="89">
        <v>0.091</v>
      </c>
      <c r="D182" s="85">
        <v>0.072</v>
      </c>
      <c r="E182" s="85">
        <v>0.054</v>
      </c>
      <c r="F182" s="85">
        <v>0.036</v>
      </c>
      <c r="G182" s="86">
        <v>0.021</v>
      </c>
    </row>
    <row r="183" spans="3:7" ht="12.75">
      <c r="C183" s="39"/>
      <c r="E183" s="1"/>
      <c r="F183" s="1"/>
      <c r="G183" s="1"/>
    </row>
    <row r="184" spans="3:7" ht="12.75">
      <c r="C184" s="39"/>
      <c r="E184" s="1"/>
      <c r="F184" s="1"/>
      <c r="G184" s="1"/>
    </row>
    <row r="185" spans="3:7" ht="12.75">
      <c r="C185" s="39"/>
      <c r="E185" s="1"/>
      <c r="F185" s="1"/>
      <c r="G185" s="1"/>
    </row>
    <row r="186" spans="3:7" ht="12.75">
      <c r="C186" s="39"/>
      <c r="E186" s="1"/>
      <c r="F186" s="1"/>
      <c r="G186" s="1"/>
    </row>
    <row r="187" spans="3:7" ht="12.75">
      <c r="C187" s="39"/>
      <c r="E187" s="1"/>
      <c r="F187" s="1"/>
      <c r="G187" s="1"/>
    </row>
    <row r="188" spans="3:7" ht="12.75">
      <c r="C188" s="39"/>
      <c r="E188" s="1"/>
      <c r="F188" s="1"/>
      <c r="G188" s="1"/>
    </row>
    <row r="189" spans="3:7" ht="12.75">
      <c r="C189" s="39"/>
      <c r="E189" s="1"/>
      <c r="F189" s="1"/>
      <c r="G189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M53"/>
  <sheetViews>
    <sheetView workbookViewId="0" topLeftCell="AP1">
      <selection activeCell="AW1" sqref="AW1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5.140625" style="0" customWidth="1"/>
    <col min="4" max="4" width="6.00390625" style="0" customWidth="1"/>
    <col min="5" max="5" width="9.28125" style="0" customWidth="1"/>
    <col min="6" max="8" width="6.00390625" style="0" customWidth="1"/>
    <col min="9" max="9" width="5.7109375" style="0" customWidth="1"/>
    <col min="10" max="10" width="6.140625" style="0" customWidth="1"/>
    <col min="11" max="12" width="6.00390625" style="0" customWidth="1"/>
    <col min="13" max="13" width="6.8515625" style="0" customWidth="1"/>
    <col min="14" max="14" width="6.00390625" style="0" customWidth="1"/>
    <col min="15" max="15" width="5.57421875" style="0" customWidth="1"/>
    <col min="16" max="16" width="5.421875" style="0" customWidth="1"/>
    <col min="17" max="17" width="5.7109375" style="0" customWidth="1"/>
    <col min="18" max="18" width="7.421875" style="0" customWidth="1"/>
    <col min="19" max="19" width="7.57421875" style="0" customWidth="1"/>
    <col min="20" max="20" width="7.7109375" style="0" customWidth="1"/>
    <col min="21" max="21" width="6.7109375" style="0" customWidth="1"/>
    <col min="22" max="22" width="9.00390625" style="0" customWidth="1"/>
    <col min="23" max="23" width="8.28125" style="0" customWidth="1"/>
    <col min="24" max="24" width="6.28125" style="0" customWidth="1"/>
    <col min="25" max="25" width="6.57421875" style="0" customWidth="1"/>
    <col min="26" max="26" width="9.7109375" style="0" customWidth="1"/>
    <col min="27" max="27" width="7.140625" style="0" customWidth="1"/>
    <col min="28" max="28" width="7.57421875" style="0" customWidth="1"/>
    <col min="29" max="29" width="7.7109375" style="0" customWidth="1"/>
    <col min="30" max="30" width="6.8515625" style="0" customWidth="1"/>
    <col min="33" max="33" width="6.28125" style="0" customWidth="1"/>
    <col min="34" max="34" width="8.7109375" style="0" customWidth="1"/>
    <col min="35" max="35" width="6.8515625" style="0" customWidth="1"/>
    <col min="36" max="36" width="7.421875" style="0" customWidth="1"/>
  </cols>
  <sheetData>
    <row r="1" spans="2:46" ht="13.5" thickBot="1">
      <c r="B1" s="54"/>
      <c r="C1" s="54"/>
      <c r="D1" s="54"/>
      <c r="F1" s="54"/>
      <c r="G1" s="54"/>
      <c r="H1" s="54"/>
      <c r="I1" s="54"/>
      <c r="J1" s="54"/>
      <c r="K1" s="54"/>
      <c r="L1" s="54"/>
      <c r="M1" s="53" t="s">
        <v>74</v>
      </c>
      <c r="N1" s="53" t="s">
        <v>59</v>
      </c>
      <c r="O1" s="54"/>
      <c r="P1" s="54"/>
      <c r="Q1" s="54"/>
      <c r="R1" s="54"/>
      <c r="S1" s="54"/>
      <c r="T1" s="54"/>
      <c r="U1" s="54"/>
      <c r="V1" s="54"/>
      <c r="W1" s="54"/>
      <c r="AQ1" s="109" t="s">
        <v>133</v>
      </c>
      <c r="AR1" s="110" t="s">
        <v>134</v>
      </c>
      <c r="AS1" s="110" t="s">
        <v>61</v>
      </c>
      <c r="AT1" s="111" t="s">
        <v>62</v>
      </c>
    </row>
    <row r="2" spans="2:46" ht="13.5" thickTop="1">
      <c r="B2" s="55" t="s">
        <v>71</v>
      </c>
      <c r="C2" s="55" t="s">
        <v>62</v>
      </c>
      <c r="D2" s="56" t="s">
        <v>61</v>
      </c>
      <c r="E2" s="56" t="s">
        <v>72</v>
      </c>
      <c r="F2" s="70" t="s">
        <v>97</v>
      </c>
      <c r="G2" s="70" t="s">
        <v>38</v>
      </c>
      <c r="H2" s="55" t="s">
        <v>65</v>
      </c>
      <c r="I2" s="57" t="s">
        <v>78</v>
      </c>
      <c r="J2" s="55" t="s">
        <v>66</v>
      </c>
      <c r="K2" s="55" t="s">
        <v>67</v>
      </c>
      <c r="L2" s="55" t="s">
        <v>60</v>
      </c>
      <c r="M2" s="55" t="s">
        <v>73</v>
      </c>
      <c r="N2" s="55" t="s">
        <v>73</v>
      </c>
      <c r="O2" s="55" t="s">
        <v>75</v>
      </c>
      <c r="P2" s="55" t="s">
        <v>41</v>
      </c>
      <c r="Q2" s="55" t="s">
        <v>40</v>
      </c>
      <c r="R2" s="55" t="s">
        <v>68</v>
      </c>
      <c r="S2" s="55" t="s">
        <v>79</v>
      </c>
      <c r="T2" s="55" t="s">
        <v>70</v>
      </c>
      <c r="U2" s="55" t="s">
        <v>69</v>
      </c>
      <c r="V2" s="55" t="s">
        <v>80</v>
      </c>
      <c r="X2" s="70" t="s">
        <v>86</v>
      </c>
      <c r="Y2" s="70" t="s">
        <v>110</v>
      </c>
      <c r="Z2" s="70" t="s">
        <v>109</v>
      </c>
      <c r="AA2" s="70" t="s">
        <v>111</v>
      </c>
      <c r="AB2" s="70" t="s">
        <v>112</v>
      </c>
      <c r="AD2" s="99" t="s">
        <v>131</v>
      </c>
      <c r="AQ2" s="4"/>
      <c r="AR2" s="5"/>
      <c r="AS2" s="5"/>
      <c r="AT2" s="7"/>
    </row>
    <row r="3" spans="1:46" ht="12.75">
      <c r="A3" s="94">
        <v>1</v>
      </c>
      <c r="B3" s="58">
        <f>+(C3-'IO'!$K$8)/'IO'!$K$3</f>
        <v>0.25</v>
      </c>
      <c r="C3" s="59">
        <f>+'IO'!$K$3/4+'IO'!$K$8</f>
        <v>1.7</v>
      </c>
      <c r="D3" s="60">
        <v>11.264382047192964</v>
      </c>
      <c r="E3" s="96">
        <f>+D3^2-Q3^2*J3^2*(2*32.2*(C3-'IO'!$K$8+C!S3-C!H3-C!V3))</f>
        <v>-1.0797351990277093E-07</v>
      </c>
      <c r="F3" s="61">
        <f>IF('IO'!$K$9&lt;=0,1,IF('IO'!$K$9&gt;=0.05,1.192,VLOOKUP('IO'!$K$9,T!$B$67:$E$72,3)*'IO'!$K$9+VLOOKUP('IO'!$K$9,T!$B$67:$E$72,4)))</f>
        <v>1.05575</v>
      </c>
      <c r="G3" s="61">
        <f>IF('IO'!$K$11&lt;=0,1,IF('IO'!$K$11&gt;=1,0.9,VLOOKUP('IO'!$K$11,T!$B$90:$E$109,3)*'IO'!$K$11+VLOOKUP('IO'!$K$11,T!$B$90:$E$109,4)))</f>
        <v>0.91</v>
      </c>
      <c r="H3" s="58">
        <f>Critical(D3,'IO'!$K$3)</f>
        <v>0.9200974098067927</v>
      </c>
      <c r="I3" s="58">
        <f>2*ACOS(1-2*H3/'IO'!$K$3)</f>
        <v>1.7734306981563568</v>
      </c>
      <c r="J3" s="58">
        <f>+(1/8)*(I3-SIN(I3))*'IO'!$K$3^2</f>
        <v>2.4809090290355393</v>
      </c>
      <c r="K3" s="59">
        <f>+'IO'!$P$3*C!C3+'IO'!$P$4*C!C3^2</f>
        <v>19.38</v>
      </c>
      <c r="L3" s="58">
        <f>1-J3/K3</f>
        <v>0.8719861182128205</v>
      </c>
      <c r="M3" s="61">
        <f>IF(B3&lt;=0.4,0.93,IF(B3&gt;=1.4,0.83,VLOOKUP(B3,T!$B$28:$E$33,3)*B3+VLOOKUP(B3,T!$B$28:$E$33,4)))</f>
        <v>0.93</v>
      </c>
      <c r="N3" s="61">
        <f>IF(B3&lt;=0.4,0.881,IF(B3&gt;=1.4,0.763,VLOOKUP(B3,T!$B$117:$E$122,3)*B3+VLOOKUP(B3,T!$B$117:$E$122,4)))</f>
        <v>0.881</v>
      </c>
      <c r="O3" s="61">
        <f>IF('IO'!$Q$16=7,N3,IF('IO'!$Q$16=3,M3*$F$3,M3*$F$3*$G$3))</f>
        <v>0.9818475</v>
      </c>
      <c r="P3" s="62">
        <f>0.98-(0.98-O3)*L3/0.8</f>
        <v>0.9820137429417477</v>
      </c>
      <c r="Q3" s="62">
        <f>IF(P3&gt;0.98,0.98,P3)</f>
        <v>0.98</v>
      </c>
      <c r="R3" s="62">
        <f>+D3/K3</f>
        <v>0.581237463735447</v>
      </c>
      <c r="S3" s="63">
        <f>+R3^2/(2*32.2)</f>
        <v>0.005245915982136881</v>
      </c>
      <c r="T3" s="58">
        <f>+'IO'!$P$3+2*C!C3*SQRT(1+'IO'!$P$4^2)</f>
        <v>15.602631123499286</v>
      </c>
      <c r="U3" s="58">
        <f>+K3/T3</f>
        <v>1.2420981978361059</v>
      </c>
      <c r="V3" s="64">
        <f>+D3^2*'IO'!$P$5^2*'IO'!$P$7/(1.486^2*C!K3^2*C!U3^(4/3))</f>
        <v>0.0018333623974518013</v>
      </c>
      <c r="X3" s="69">
        <f>0.5*I3*'IO'!$K$3</f>
        <v>4.433576745390892</v>
      </c>
      <c r="Y3" s="69">
        <f>+J3/X3</f>
        <v>0.5595728170522076</v>
      </c>
      <c r="Z3" s="141">
        <f>+(D3*'IO'!$K$4/(1.486*C!J3*C!Y3^(2/3)))^2</f>
        <v>0.011661894721979716</v>
      </c>
      <c r="AA3" s="77">
        <f>IF('IO'!$K$6&gt;C!Z3,1,0)</f>
        <v>1</v>
      </c>
      <c r="AB3" s="77">
        <f>IF(H3&gt;'IO'!$P$10,1,0)</f>
        <v>0</v>
      </c>
      <c r="AD3" s="100">
        <f>+AB3*AA3</f>
        <v>0</v>
      </c>
      <c r="AQ3" s="30">
        <v>1</v>
      </c>
      <c r="AR3" s="16">
        <f>+AD3</f>
        <v>0</v>
      </c>
      <c r="AS3" s="102">
        <f>+D3</f>
        <v>11.264382047192964</v>
      </c>
      <c r="AT3" s="104">
        <f>+C3</f>
        <v>1.7</v>
      </c>
    </row>
    <row r="4" spans="1:46" ht="12.75">
      <c r="A4" s="94">
        <v>1</v>
      </c>
      <c r="B4" s="58">
        <f>+(C4-'IO'!$K$8)/'IO'!$K$3</f>
        <v>0.5</v>
      </c>
      <c r="C4" s="59">
        <f>+'IO'!$K$3/2+'IO'!$K$8</f>
        <v>2.95</v>
      </c>
      <c r="D4" s="60">
        <v>42.2598441554049</v>
      </c>
      <c r="E4" s="96">
        <f>+D4^2-Q4^2*J4^2*(2*32.2*(C4-'IO'!$K$8+C!S4-C!H4-C!V4))</f>
        <v>-1.154128312919056E-07</v>
      </c>
      <c r="F4" s="50"/>
      <c r="G4" s="92"/>
      <c r="H4" s="58">
        <f>Critical(D4,'IO'!$K$3)</f>
        <v>1.815227304819347</v>
      </c>
      <c r="I4" s="58">
        <f>2*ACOS(1-2*H4/'IO'!$K$3)</f>
        <v>2.5866822211742404</v>
      </c>
      <c r="J4" s="58">
        <f>+(1/8)*(I4-SIN(I4))*'IO'!$K$3^2</f>
        <v>6.43692202066861</v>
      </c>
      <c r="K4" s="59">
        <f>+'IO'!$P$3*C!C4+'IO'!$P$4*C!C4^2</f>
        <v>41.005</v>
      </c>
      <c r="L4" s="58">
        <f>1-J4/K4</f>
        <v>0.8430210457098254</v>
      </c>
      <c r="M4" s="61">
        <f>IF(B4&lt;=0.4,0.93,IF(B4&gt;=1.4,0.83,VLOOKUP(B4,T!$B$28:$E$33,3)*B4+VLOOKUP(B4,T!$B$28:$E$33,4)))</f>
        <v>0.9275</v>
      </c>
      <c r="N4" s="61">
        <f>IF(B4&lt;=0.4,0.881,IF(B4&gt;=1.4,0.763,VLOOKUP(B4,T!$B$117:$E$122,3)*B4+VLOOKUP(B4,T!$B$117:$E$122,4)))</f>
        <v>0.8905000000000001</v>
      </c>
      <c r="O4" s="61">
        <f>IF('IO'!$Q$16=7,N4,IF('IO'!$Q$16=3,M4*$F$3,M4*$F$3*$G$3))</f>
        <v>0.979208125</v>
      </c>
      <c r="P4" s="62">
        <f>0.98-(0.98-O4)*L4/0.8</f>
        <v>0.9791655408867856</v>
      </c>
      <c r="Q4" s="62">
        <f>IF(P4&gt;0.98,0.98,P4)</f>
        <v>0.9791655408867856</v>
      </c>
      <c r="R4" s="62">
        <f>+D4/K4</f>
        <v>1.030602223031457</v>
      </c>
      <c r="S4" s="63">
        <f>+R4^2/(2*32.2)</f>
        <v>0.016492871772009025</v>
      </c>
      <c r="T4" s="58">
        <f>+'IO'!$P$3+2*C!C4*SQRT(1+'IO'!$P$4^2)</f>
        <v>21.19280106724876</v>
      </c>
      <c r="U4" s="58">
        <f>+K4/T4</f>
        <v>1.9348551364155873</v>
      </c>
      <c r="V4" s="64">
        <f>+D4^2*'IO'!$P$5^2*'IO'!$P$7/(1.486^2*C!K4^2*C!U4^(4/3))</f>
        <v>0.003192027130720405</v>
      </c>
      <c r="X4" s="69">
        <f>0.5*I4*'IO'!$K$3</f>
        <v>6.466705552935601</v>
      </c>
      <c r="Y4" s="69">
        <f>+J4/X4</f>
        <v>0.9953943268294518</v>
      </c>
      <c r="Z4" s="141">
        <f>+(D4*'IO'!$K$4/(1.486*C!J4*C!Y4^(2/3)))^2</f>
        <v>0.011312465542597138</v>
      </c>
      <c r="AA4" s="77">
        <f>IF('IO'!$K$6&gt;C!Z4,1,0)</f>
        <v>1</v>
      </c>
      <c r="AB4" s="77">
        <f>IF(H4&gt;'IO'!$P$10,1,0)</f>
        <v>1</v>
      </c>
      <c r="AD4" s="100">
        <f>+AB4*AA4</f>
        <v>1</v>
      </c>
      <c r="AQ4" s="30">
        <v>1</v>
      </c>
      <c r="AR4" s="16">
        <f>+AD4</f>
        <v>1</v>
      </c>
      <c r="AS4" s="102">
        <f>+D4</f>
        <v>42.2598441554049</v>
      </c>
      <c r="AT4" s="104">
        <f>+C4</f>
        <v>2.95</v>
      </c>
    </row>
    <row r="5" spans="1:46" ht="12.75">
      <c r="A5" s="94">
        <v>1</v>
      </c>
      <c r="B5" s="58">
        <f>+(C5-'IO'!$K$8)/'IO'!$K$3</f>
        <v>1</v>
      </c>
      <c r="C5" s="59">
        <f>+'IO'!$K$3+'IO'!$K$8</f>
        <v>5.45</v>
      </c>
      <c r="D5" s="60">
        <v>134.990134279607</v>
      </c>
      <c r="E5" s="96">
        <f>+D5^2-Q5^2*J5^2*(2*32.2*(C5-'IO'!$K$8+C!S5-C!H5-C!V5))</f>
        <v>-4.644898581318557E-07</v>
      </c>
      <c r="F5" s="92"/>
      <c r="G5" s="92"/>
      <c r="H5" s="58">
        <f>Critical(D5,'IO'!$K$3)</f>
        <v>3.3265712478134755</v>
      </c>
      <c r="I5" s="58">
        <f>2*ACOS(1-2*H5/'IO'!$K$3)</f>
        <v>3.8155315518379216</v>
      </c>
      <c r="J5" s="58">
        <f>+(1/8)*(I5-SIN(I5))*'IO'!$K$3^2</f>
        <v>13.87375033565651</v>
      </c>
      <c r="K5" s="59">
        <f>+'IO'!$P$3*C!C5+'IO'!$P$4*C!C5^2</f>
        <v>103.005</v>
      </c>
      <c r="L5" s="58">
        <f>1-J5/K5</f>
        <v>0.8653099331522109</v>
      </c>
      <c r="M5" s="61">
        <f>IF(B5&lt;=0.4,0.93,IF(B5&gt;=1.4,0.83,VLOOKUP(B5,T!$B$28:$E$33,3)*B5+VLOOKUP(B5,T!$B$28:$E$33,4)))</f>
        <v>0.8850000000000001</v>
      </c>
      <c r="N5" s="61">
        <f>IF(B5&lt;=0.4,0.881,IF(B5&gt;=1.4,0.763,VLOOKUP(B5,T!$B$117:$E$122,3)*B5+VLOOKUP(B5,T!$B$117:$E$122,4)))</f>
        <v>0.867</v>
      </c>
      <c r="O5" s="61">
        <f>IF('IO'!$Q$16=7,N5,IF('IO'!$Q$16=3,M5*$F$3,M5*$F$3*$G$3))</f>
        <v>0.9343387500000001</v>
      </c>
      <c r="P5" s="62">
        <f>0.98-(0.98-O5)*L5/0.8</f>
        <v>0.9306110835185671</v>
      </c>
      <c r="Q5" s="62">
        <f>IF(P5&gt;0.98,0.98,P5)</f>
        <v>0.9306110835185671</v>
      </c>
      <c r="R5" s="62">
        <f>+D5/K5</f>
        <v>1.3105202104714042</v>
      </c>
      <c r="S5" s="63">
        <f>+R5^2/(2*32.2)</f>
        <v>0.026668683572267288</v>
      </c>
      <c r="T5" s="58">
        <f>+'IO'!$P$3+2*C!C5*SQRT(1+'IO'!$P$4^2)</f>
        <v>32.37314095474771</v>
      </c>
      <c r="U5" s="58">
        <f>+K5/T5</f>
        <v>3.181804327976205</v>
      </c>
      <c r="V5" s="64">
        <f>+D5^2*'IO'!$P$5^2*'IO'!$P$7/(1.486^2*C!K5^2*C!U5^(4/3))</f>
        <v>0.00265912356429391</v>
      </c>
      <c r="X5" s="69">
        <f>0.5*I5*'IO'!$K$3</f>
        <v>9.538828879594805</v>
      </c>
      <c r="Y5" s="69">
        <f>+J5/X5</f>
        <v>1.4544500704205783</v>
      </c>
      <c r="Z5" s="141">
        <f>+(D5*'IO'!$K$4/(1.486*C!J5*C!Y5^(2/3)))^2</f>
        <v>0.014985437180368696</v>
      </c>
      <c r="AA5" s="77">
        <f>IF('IO'!$K$6&gt;C!Z5,1,0)</f>
        <v>1</v>
      </c>
      <c r="AB5" s="77">
        <f>IF(H5&gt;'IO'!$P$10,1,0)</f>
        <v>1</v>
      </c>
      <c r="AD5" s="100">
        <f>+AB5*AA5</f>
        <v>1</v>
      </c>
      <c r="AQ5" s="30">
        <v>1</v>
      </c>
      <c r="AR5" s="16">
        <f>+AD5</f>
        <v>1</v>
      </c>
      <c r="AS5" s="102">
        <f>+D5</f>
        <v>134.990134279607</v>
      </c>
      <c r="AT5" s="104">
        <f>+C5</f>
        <v>5.45</v>
      </c>
    </row>
    <row r="6" spans="1:46" ht="12.75">
      <c r="A6" s="94">
        <v>1</v>
      </c>
      <c r="B6" s="58">
        <v>1.3</v>
      </c>
      <c r="C6" s="59">
        <f>+B6*'IO'!$K$3+'IO'!$K$8</f>
        <v>6.95</v>
      </c>
      <c r="D6" s="60">
        <v>188.67056295922475</v>
      </c>
      <c r="E6" s="96">
        <f>+D6^2-Q6^2*J6^2*(2*32.2*(C6-'IO'!$K$8+C!S6-C!H6-C!V6))</f>
        <v>-2.462838892824948E-07</v>
      </c>
      <c r="F6" s="92"/>
      <c r="G6" s="92"/>
      <c r="H6" s="58">
        <f>Critical(D6,'IO'!$K$3)</f>
        <v>3.929197868607643</v>
      </c>
      <c r="I6" s="58">
        <f>2*ACOS(1-2*H6/'IO'!$K$3)</f>
        <v>4.3586945519447315</v>
      </c>
      <c r="J6" s="58">
        <f>+(1/8)*(I6-SIN(I6))*'IO'!$K$3^2</f>
        <v>16.552481392541985</v>
      </c>
      <c r="K6" s="59">
        <f>+'IO'!$P$3*C!C6+'IO'!$P$4*C!C6^2</f>
        <v>152.205</v>
      </c>
      <c r="L6" s="58">
        <f>1-J6/K6</f>
        <v>0.8912487671722875</v>
      </c>
      <c r="M6" s="61">
        <f>IF(B6&lt;=0.4,0.93,IF(B6&gt;=1.4,0.83,VLOOKUP(B6,T!$B$28:$E$33,3)*B6+VLOOKUP(B6,T!$B$28:$E$33,4)))</f>
        <v>0.845</v>
      </c>
      <c r="N6" s="61">
        <f>IF(B6&lt;=0.4,0.881,IF(B6&gt;=1.4,0.763,VLOOKUP(B6,T!$B$117:$E$122,3)*B6+VLOOKUP(B6,T!$B$117:$E$122,4)))</f>
        <v>0.7925</v>
      </c>
      <c r="O6" s="61">
        <f>IF('IO'!$Q$16=7,N6,IF('IO'!$Q$16=3,M6*$F$3,M6*$F$3*$G$3))</f>
        <v>0.8921087499999999</v>
      </c>
      <c r="P6" s="62">
        <f>0.98-(0.98-O6)*L6/0.8</f>
        <v>0.8820837897403357</v>
      </c>
      <c r="Q6" s="62">
        <f>IF(P6&gt;0.98,0.98,P6)</f>
        <v>0.8820837897403357</v>
      </c>
      <c r="R6" s="62">
        <f>+D6/K6</f>
        <v>1.2395818991440803</v>
      </c>
      <c r="S6" s="63">
        <f>+R6^2/(2*32.2)</f>
        <v>0.023859678333628027</v>
      </c>
      <c r="T6" s="58">
        <f>+'IO'!$P$3+2*C!C6*SQRT(1+'IO'!$P$4^2)</f>
        <v>39.081344887247084</v>
      </c>
      <c r="U6" s="58">
        <f>+K6/T6</f>
        <v>3.894569146459111</v>
      </c>
      <c r="V6" s="64">
        <f>+D6^2*'IO'!$P$5^2*'IO'!$P$7/(1.486^2*C!K6^2*C!U6^(4/3))</f>
        <v>0.001816994406145063</v>
      </c>
      <c r="X6" s="69">
        <f>0.5*I6*'IO'!$K$3</f>
        <v>10.896736379861828</v>
      </c>
      <c r="Y6" s="69">
        <f>+J6/X6</f>
        <v>1.5190310947718708</v>
      </c>
      <c r="Z6" s="141">
        <f>+(D6*'IO'!$K$4/(1.486*C!J6*C!Y6^(2/3)))^2</f>
        <v>0.01940787798367448</v>
      </c>
      <c r="AA6" s="77">
        <f>IF('IO'!$K$6&gt;C!Z6,1,0)</f>
        <v>0</v>
      </c>
      <c r="AB6" s="77">
        <f>IF(H6&gt;'IO'!$P$10,1,0)</f>
        <v>1</v>
      </c>
      <c r="AD6" s="100">
        <f>+AB6*AA6</f>
        <v>0</v>
      </c>
      <c r="AQ6" s="30">
        <v>1</v>
      </c>
      <c r="AR6" s="16">
        <f>+AD6</f>
        <v>0</v>
      </c>
      <c r="AS6" s="102">
        <f>+D6</f>
        <v>188.67056295922475</v>
      </c>
      <c r="AT6" s="104">
        <f>+C6</f>
        <v>6.95</v>
      </c>
    </row>
    <row r="7" spans="2:46" ht="12.75">
      <c r="B7" s="54"/>
      <c r="C7" s="54"/>
      <c r="D7" s="54"/>
      <c r="E7" s="54"/>
      <c r="F7" s="93"/>
      <c r="G7" s="93"/>
      <c r="H7" s="54"/>
      <c r="I7" s="54"/>
      <c r="J7" s="54"/>
      <c r="K7" s="54"/>
      <c r="L7" s="54" t="s">
        <v>81</v>
      </c>
      <c r="M7" s="54" t="s">
        <v>81</v>
      </c>
      <c r="N7" s="54" t="s">
        <v>81</v>
      </c>
      <c r="O7" s="54" t="s">
        <v>81</v>
      </c>
      <c r="P7" s="54"/>
      <c r="Q7" s="54"/>
      <c r="R7" s="54"/>
      <c r="S7" s="54"/>
      <c r="T7" s="54"/>
      <c r="U7" s="54"/>
      <c r="V7" s="53" t="s">
        <v>74</v>
      </c>
      <c r="W7" s="53" t="s">
        <v>59</v>
      </c>
      <c r="X7" s="54"/>
      <c r="Y7" s="54"/>
      <c r="Z7" s="54"/>
      <c r="AA7" s="54"/>
      <c r="AB7" s="54"/>
      <c r="AC7" s="54"/>
      <c r="AD7" s="54"/>
      <c r="AE7" s="54"/>
      <c r="AQ7" s="30">
        <v>2</v>
      </c>
      <c r="AR7" s="16">
        <f>+AL9</f>
        <v>0</v>
      </c>
      <c r="AS7" s="102">
        <f>+D9</f>
        <v>15.048868206394578</v>
      </c>
      <c r="AT7" s="104">
        <f>+C9</f>
        <v>1.7</v>
      </c>
    </row>
    <row r="8" spans="2:46" ht="12.75">
      <c r="B8" s="55" t="s">
        <v>71</v>
      </c>
      <c r="C8" s="55" t="s">
        <v>62</v>
      </c>
      <c r="D8" s="56" t="s">
        <v>61</v>
      </c>
      <c r="E8" s="56" t="s">
        <v>72</v>
      </c>
      <c r="F8" s="70" t="s">
        <v>97</v>
      </c>
      <c r="G8" s="70" t="s">
        <v>38</v>
      </c>
      <c r="H8" s="55" t="s">
        <v>65</v>
      </c>
      <c r="I8" s="57" t="s">
        <v>78</v>
      </c>
      <c r="J8" s="55" t="s">
        <v>66</v>
      </c>
      <c r="K8" s="55" t="s">
        <v>67</v>
      </c>
      <c r="L8" s="57" t="s">
        <v>82</v>
      </c>
      <c r="M8" s="55" t="s">
        <v>83</v>
      </c>
      <c r="N8" s="55" t="s">
        <v>84</v>
      </c>
      <c r="O8" s="55" t="s">
        <v>85</v>
      </c>
      <c r="P8" s="55" t="s">
        <v>86</v>
      </c>
      <c r="Q8" s="55" t="s">
        <v>87</v>
      </c>
      <c r="R8" s="55" t="s">
        <v>88</v>
      </c>
      <c r="S8" s="55" t="s">
        <v>89</v>
      </c>
      <c r="T8" s="55" t="s">
        <v>91</v>
      </c>
      <c r="U8" s="55" t="s">
        <v>60</v>
      </c>
      <c r="V8" s="55" t="s">
        <v>73</v>
      </c>
      <c r="W8" s="55" t="s">
        <v>73</v>
      </c>
      <c r="X8" s="55" t="s">
        <v>75</v>
      </c>
      <c r="Y8" s="55" t="s">
        <v>41</v>
      </c>
      <c r="Z8" s="55" t="s">
        <v>40</v>
      </c>
      <c r="AA8" s="55" t="s">
        <v>68</v>
      </c>
      <c r="AB8" s="55" t="s">
        <v>79</v>
      </c>
      <c r="AC8" s="55" t="s">
        <v>70</v>
      </c>
      <c r="AD8" s="55" t="s">
        <v>69</v>
      </c>
      <c r="AE8" s="55" t="s">
        <v>80</v>
      </c>
      <c r="AG8" s="70" t="s">
        <v>110</v>
      </c>
      <c r="AH8" s="70" t="s">
        <v>109</v>
      </c>
      <c r="AI8" s="70" t="s">
        <v>113</v>
      </c>
      <c r="AJ8" s="70" t="s">
        <v>112</v>
      </c>
      <c r="AL8" s="99" t="s">
        <v>131</v>
      </c>
      <c r="AQ8" s="30">
        <v>2</v>
      </c>
      <c r="AR8" s="16">
        <f>+AL10</f>
        <v>0</v>
      </c>
      <c r="AS8" s="102">
        <f>+D10</f>
        <v>49.6442002511722</v>
      </c>
      <c r="AT8" s="104">
        <f>+C10</f>
        <v>2.95</v>
      </c>
    </row>
    <row r="9" spans="1:46" ht="12.75">
      <c r="A9" s="94">
        <v>2</v>
      </c>
      <c r="B9" s="58">
        <f>+(C9-'IO'!$K$8)/'IO'!$K$3</f>
        <v>0.25</v>
      </c>
      <c r="C9" s="59">
        <f>+'IO'!$K$3/4+'IO'!$K$8</f>
        <v>1.7</v>
      </c>
      <c r="D9" s="60">
        <v>15.048868206394578</v>
      </c>
      <c r="E9" s="96">
        <f>+D9^2-Z9^2*J9^2*(2*32.2*(C9+C!AB9-C!H9-C!AE9-T9))</f>
        <v>-1.4242115753404505E-07</v>
      </c>
      <c r="F9" s="61">
        <f>IF('IO'!$K$9&lt;=0,1,IF('IO'!$K$9&gt;=0.05,1.192,VLOOKUP('IO'!$K$9,T!$B$67:$E$72,3)*'IO'!$K$9+VLOOKUP('IO'!$K$9,T!$B$67:$E$72,4)))</f>
        <v>1.05575</v>
      </c>
      <c r="G9" s="61">
        <f>IF('IO'!$K$11&lt;=0,1,IF('IO'!$K$11&gt;=1,0.9,VLOOKUP('IO'!$K$11,T!$B$90:$E$109,3)*'IO'!$K$11+VLOOKUP('IO'!$K$11,T!$B$90:$E$109,4)))</f>
        <v>0.91</v>
      </c>
      <c r="H9" s="58">
        <f>Critical(D9,'IO'!$K$3)</f>
        <v>1.0667068701284497</v>
      </c>
      <c r="I9" s="58">
        <f>2*ACOS(1-2*H9/'IO'!$K$3)</f>
        <v>1.9204949185848237</v>
      </c>
      <c r="J9" s="58">
        <f>+(1/8)*(I9-SIN(I9))*'IO'!$K$3^2</f>
        <v>3.065684050606812</v>
      </c>
      <c r="K9" s="59">
        <f>+'IO'!$P$3*C!C9+'IO'!$P$4*C!C9^2</f>
        <v>19.38</v>
      </c>
      <c r="L9" s="58">
        <f>2*ACOS(1-2*B9)</f>
        <v>2.0943951023931953</v>
      </c>
      <c r="M9" s="58">
        <f>(1/8)*(L9-SIN(L9))*'IO'!$K$3^2</f>
        <v>3.8386553081523638</v>
      </c>
      <c r="N9" s="58">
        <f>+D9/M9</f>
        <v>3.9203489238626004</v>
      </c>
      <c r="O9" s="95"/>
      <c r="P9" s="58">
        <f>0.5*I9*'IO'!$K$3</f>
        <v>4.801237296462059</v>
      </c>
      <c r="Q9" s="58">
        <f>0.5*L9*'IO'!$K$3</f>
        <v>5.235987755982988</v>
      </c>
      <c r="R9" s="59">
        <f>1.486*J9*(J9/P9)^(0.666666666666667)/'IO'!$K$4</f>
        <v>140.75087748288252</v>
      </c>
      <c r="S9" s="58">
        <f>1.486*M9*(M9/Q9)^(0.666666666666667)/'IO'!$K$4</f>
        <v>193.24444276864506</v>
      </c>
      <c r="T9" s="58">
        <f>+D9^2*'IO'!$K$5/(C!R9*C!S9)</f>
        <v>0.24978756115032008</v>
      </c>
      <c r="U9" s="58">
        <f>1-J9/K9</f>
        <v>0.8418119684929406</v>
      </c>
      <c r="V9" s="61">
        <f>IF(B9&lt;=0.4,0.93,IF(B9&gt;=1.4,0.83,VLOOKUP(B9,T!$B$28:$E$33,3)*B9+VLOOKUP(B9,T!$B$28:$E$33,4)))</f>
        <v>0.93</v>
      </c>
      <c r="W9" s="61">
        <f>IF(B9&lt;=0.4,0.881,IF(B9&gt;=1.4,0.763,VLOOKUP(B9,T!$B$117:$E$122,3)*B9+VLOOKUP(B9,T!$B$117:$E$122,4)))</f>
        <v>0.881</v>
      </c>
      <c r="X9" s="61">
        <f>IF('IO'!$Q$16=7,W9,IF('IO'!$Q$16=3,V9*$F$3,V9*$F$3*$G$3))</f>
        <v>0.9818475</v>
      </c>
      <c r="Y9" s="62">
        <f>0.98-(0.98-X9)*U9/0.8</f>
        <v>0.9819440595147384</v>
      </c>
      <c r="Z9" s="62">
        <f>IF(Y9&gt;0.98,0.98,Y9)</f>
        <v>0.98</v>
      </c>
      <c r="AA9" s="62">
        <f>+D9/K9</f>
        <v>0.7765153873268617</v>
      </c>
      <c r="AB9" s="63">
        <f>+AA9^2/(2*32.2)</f>
        <v>0.009362983645269968</v>
      </c>
      <c r="AC9" s="58">
        <f>+'IO'!$P$3+2*C!C9*SQRT(1+'IO'!$P$4^2)</f>
        <v>15.602631123499286</v>
      </c>
      <c r="AD9" s="58">
        <f>+K9/AC9</f>
        <v>1.2420981978361059</v>
      </c>
      <c r="AE9" s="64">
        <f>+D9^2*'IO'!$P$5^2*'IO'!$P$7/(1.486^2*C!K9^2*C!AD9^(4/3))</f>
        <v>0.0032722106495121244</v>
      </c>
      <c r="AG9" s="78">
        <f>+J9/P9</f>
        <v>0.6385195859546157</v>
      </c>
      <c r="AH9" s="142">
        <f>+(D9*'IO'!$K$4/(1.486*C!J9*C!AG9^(2/3)))^2</f>
        <v>0.011431558824183964</v>
      </c>
      <c r="AI9" s="77">
        <f>IF('IO'!$K$6&lt;C!AH9,1,0)</f>
        <v>0</v>
      </c>
      <c r="AJ9" s="77">
        <f>IF(H9&gt;'IO'!$P$10,1,0)</f>
        <v>1</v>
      </c>
      <c r="AL9" s="100">
        <f>+AJ9*AI9</f>
        <v>0</v>
      </c>
      <c r="AQ9" s="30">
        <v>2</v>
      </c>
      <c r="AR9" s="16">
        <f>+AL11</f>
        <v>1</v>
      </c>
      <c r="AS9" s="102">
        <f>+D11</f>
        <v>138.7763614610311</v>
      </c>
      <c r="AT9" s="104">
        <f>+C11</f>
        <v>5.45</v>
      </c>
    </row>
    <row r="10" spans="1:46" ht="12.75">
      <c r="A10" s="94">
        <v>2</v>
      </c>
      <c r="B10" s="58">
        <f>+(C10-'IO'!$K$8)/'IO'!$K$3</f>
        <v>0.5</v>
      </c>
      <c r="C10" s="59">
        <f>+'IO'!$K$3/2+'IO'!$K$8</f>
        <v>2.95</v>
      </c>
      <c r="D10" s="60">
        <v>49.6442002511722</v>
      </c>
      <c r="E10" s="96">
        <f>+D10^2-Z10^2*J10^2*(2*32.2*(C10+C!AB10-C!H10-C!AE10-T10))</f>
        <v>3.305985956103541E-07</v>
      </c>
      <c r="F10" s="60"/>
      <c r="G10" s="60"/>
      <c r="H10" s="58">
        <f>Critical(D10,'IO'!$K$3)</f>
        <v>1.9737090968275877</v>
      </c>
      <c r="I10" s="58">
        <f>2*ACOS(1-2*H10/'IO'!$K$3)</f>
        <v>2.7173863980770117</v>
      </c>
      <c r="J10" s="58">
        <f>+(1/8)*(I10-SIN(I10))*'IO'!$K$3^2</f>
        <v>7.205590244115211</v>
      </c>
      <c r="K10" s="59">
        <f>+'IO'!$P$3*C!C10+'IO'!$P$4*C!C10^2</f>
        <v>41.005</v>
      </c>
      <c r="L10" s="58">
        <f>2*ACOS(1-2*B10)</f>
        <v>3.141592653589793</v>
      </c>
      <c r="M10" s="58">
        <f>(1/8)*(L10-SIN(L10))*'IO'!$K$3^2</f>
        <v>9.817477042468104</v>
      </c>
      <c r="N10" s="58">
        <f>+D10/M10</f>
        <v>5.0567167141235</v>
      </c>
      <c r="O10" s="95"/>
      <c r="P10" s="58">
        <f>0.5*I10*'IO'!$K$3</f>
        <v>6.793465995192529</v>
      </c>
      <c r="Q10" s="58">
        <f>0.5*L10*'IO'!$K$3</f>
        <v>7.853981633974483</v>
      </c>
      <c r="R10" s="59">
        <f>1.486*J10*(J10/P10)^(0.666666666666667)/'IO'!$K$4</f>
        <v>464.0120226327141</v>
      </c>
      <c r="S10" s="58">
        <f>1.486*M10*(M10/Q10)^(0.666666666666667)/'IO'!$K$4</f>
        <v>705.3653753796945</v>
      </c>
      <c r="T10" s="58">
        <f>+D10^2*'IO'!$K$5/(C!R10*C!S10)</f>
        <v>0.22589931889642906</v>
      </c>
      <c r="U10" s="58">
        <f>1-J10/K10</f>
        <v>0.8242753263232481</v>
      </c>
      <c r="V10" s="61">
        <f>IF(B10&lt;=0.4,0.93,IF(B10&gt;=1.4,0.83,VLOOKUP(B10,T!$B$28:$E$33,3)*B10+VLOOKUP(B10,T!$B$28:$E$33,4)))</f>
        <v>0.9275</v>
      </c>
      <c r="W10" s="61">
        <f>IF(B10&lt;=0.4,0.881,IF(B10&gt;=1.4,0.763,VLOOKUP(B10,T!$B$117:$E$122,3)*B10+VLOOKUP(B10,T!$B$117:$E$122,4)))</f>
        <v>0.8905000000000001</v>
      </c>
      <c r="X10" s="61">
        <f>IF('IO'!$Q$16=7,W10,IF('IO'!$Q$16=3,V10*$F$3,V10*$F$3*$G$3))</f>
        <v>0.979208125</v>
      </c>
      <c r="Y10" s="62">
        <f>0.98-(0.98-X10)*U10/0.8</f>
        <v>0.9791840962199597</v>
      </c>
      <c r="Z10" s="62">
        <f>IF(Y10&gt;0.98,0.98,Y10)</f>
        <v>0.9791840962199597</v>
      </c>
      <c r="AA10" s="62">
        <f>+D10/K10</f>
        <v>1.210686507771545</v>
      </c>
      <c r="AB10" s="63">
        <f>+AA10^2/(2*32.2)</f>
        <v>0.022760276709628248</v>
      </c>
      <c r="AC10" s="58">
        <f>+'IO'!$P$3+2*C!C10*SQRT(1+'IO'!$P$4^2)</f>
        <v>21.19280106724876</v>
      </c>
      <c r="AD10" s="58">
        <f>+K10/AC10</f>
        <v>1.9348551364155873</v>
      </c>
      <c r="AE10" s="64">
        <f>+D10^2*'IO'!$P$5^2*'IO'!$P$7/(1.486^2*C!K10^2*C!AD10^(4/3))</f>
        <v>0.004405019438951676</v>
      </c>
      <c r="AG10" s="78">
        <f>+J10/P10</f>
        <v>1.060664798972178</v>
      </c>
      <c r="AH10" s="142">
        <f>+(D10*'IO'!$K$4/(1.486*C!J10*C!AG10^(2/3)))^2</f>
        <v>0.011446654404004733</v>
      </c>
      <c r="AI10" s="77">
        <f>IF('IO'!$K$6&lt;C!AH10,1,0)</f>
        <v>0</v>
      </c>
      <c r="AJ10" s="77">
        <f>IF(H10&gt;'IO'!$P$10,1,0)</f>
        <v>1</v>
      </c>
      <c r="AL10" s="100">
        <f>+AJ10*AI10</f>
        <v>0</v>
      </c>
      <c r="AQ10" s="30">
        <v>2</v>
      </c>
      <c r="AR10" s="16">
        <f>+AL12</f>
        <v>1</v>
      </c>
      <c r="AS10" s="102">
        <f>+D12</f>
        <v>184.87105146325675</v>
      </c>
      <c r="AT10" s="104">
        <f>+C12</f>
        <v>6.95</v>
      </c>
    </row>
    <row r="11" spans="1:47" ht="12.75">
      <c r="A11" s="94">
        <v>2</v>
      </c>
      <c r="B11" s="58">
        <f>+(C11-'IO'!$K$8)/'IO'!$K$3</f>
        <v>1</v>
      </c>
      <c r="C11" s="59">
        <f>+'IO'!$K$3+'IO'!$K$8</f>
        <v>5.45</v>
      </c>
      <c r="D11" s="60">
        <v>138.7763614610311</v>
      </c>
      <c r="E11" s="96">
        <f>+D11^2-Z11^2*J11^2*(2*32.2*(C11+C!AB11-C!H11-C!AE11-T11))</f>
        <v>-2.36177584156394E-07</v>
      </c>
      <c r="F11" s="60"/>
      <c r="G11" s="60"/>
      <c r="H11" s="58">
        <f>Critical(D11,'IO'!$K$3)</f>
        <v>3.3741606689096177</v>
      </c>
      <c r="I11" s="58">
        <f>2*ACOS(1-2*H11/'IO'!$K$3)</f>
        <v>3.8560181059837344</v>
      </c>
      <c r="J11" s="58">
        <f>+(1/8)*(I11-SIN(I11))*'IO'!$K$3^2</f>
        <v>14.097504929623058</v>
      </c>
      <c r="K11" s="59">
        <f>+'IO'!$P$3*C!C11+'IO'!$P$4*C!C11^2</f>
        <v>103.005</v>
      </c>
      <c r="L11" s="58">
        <f>2*ACOS(1-2*B11)</f>
        <v>6.283185307179586</v>
      </c>
      <c r="M11" s="58">
        <f>(1/8)*(L11-SIN(L11))*'IO'!$K$3^2</f>
        <v>19.634954084936208</v>
      </c>
      <c r="N11" s="58">
        <f>+D11/M11</f>
        <v>7.067822051465824</v>
      </c>
      <c r="O11" s="58"/>
      <c r="P11" s="58">
        <f>0.5*I11*'IO'!$K$3</f>
        <v>9.640045264959337</v>
      </c>
      <c r="Q11" s="58">
        <f>0.5*L11*'IO'!$K$3</f>
        <v>15.707963267948966</v>
      </c>
      <c r="R11" s="59">
        <f>1.486*J11*(J11/P11)^(0.666666666666667)/'IO'!$K$4</f>
        <v>1124.5841135705248</v>
      </c>
      <c r="S11" s="58">
        <f>1.486*M11*(M11/Q11)^(0.666666666666667)/'IO'!$K$4</f>
        <v>1410.730750759389</v>
      </c>
      <c r="T11" s="58">
        <f>+D11^2*'IO'!$K$5/(C!R11*C!S11)</f>
        <v>0.3641800664226863</v>
      </c>
      <c r="U11" s="58">
        <f>1-J11/K11</f>
        <v>0.8631376639034701</v>
      </c>
      <c r="V11" s="61">
        <f>IF(B11&lt;=0.4,0.93,IF(B11&gt;=1.4,0.83,VLOOKUP(B11,T!$B$28:$E$33,3)*B11+VLOOKUP(B11,T!$B$28:$E$33,4)))</f>
        <v>0.8850000000000001</v>
      </c>
      <c r="W11" s="61">
        <f>IF(B11&lt;=0.4,0.881,IF(B11&gt;=1.4,0.763,VLOOKUP(B11,T!$B$117:$E$122,3)*B11+VLOOKUP(B11,T!$B$117:$E$122,4)))</f>
        <v>0.867</v>
      </c>
      <c r="X11" s="61">
        <f>IF('IO'!$Q$16=7,W11,IF('IO'!$Q$16=3,V11*$F$3,V11*$F$3*$G$3))</f>
        <v>0.9343387500000001</v>
      </c>
      <c r="Y11" s="62">
        <f>0.98-(0.98-X11)*U11/0.8</f>
        <v>0.9307350691801097</v>
      </c>
      <c r="Z11" s="62">
        <f>IF(Y11&gt;0.98,0.98,Y11)</f>
        <v>0.9307350691801097</v>
      </c>
      <c r="AA11" s="62">
        <f>+D11/K11</f>
        <v>1.3472779133151895</v>
      </c>
      <c r="AB11" s="63">
        <f>+AA11^2/(2*32.2)</f>
        <v>0.028185679747002035</v>
      </c>
      <c r="AC11" s="58">
        <f>+'IO'!$P$3+2*C!C11*SQRT(1+'IO'!$P$4^2)</f>
        <v>32.37314095474771</v>
      </c>
      <c r="AD11" s="58">
        <f>+K11/AC11</f>
        <v>3.181804327976205</v>
      </c>
      <c r="AE11" s="64">
        <f>+D11^2*'IO'!$P$5^2*'IO'!$P$7/(1.486^2*C!K11^2*C!AD11^(4/3))</f>
        <v>0.002810382634290739</v>
      </c>
      <c r="AG11" s="78">
        <f>+J11/P11</f>
        <v>1.4623899102285516</v>
      </c>
      <c r="AH11" s="142">
        <f>+(D11*'IO'!$K$4/(1.486*C!J11*C!AG11^(2/3)))^2</f>
        <v>0.015228148560771973</v>
      </c>
      <c r="AI11" s="77">
        <f>IF('IO'!$K$6&lt;C!AH11,1,0)</f>
        <v>1</v>
      </c>
      <c r="AJ11" s="77">
        <f>IF(H11&gt;'IO'!$P$10,1,0)</f>
        <v>1</v>
      </c>
      <c r="AL11" s="100">
        <f>+AJ11*AI11</f>
        <v>1</v>
      </c>
      <c r="AQ11" s="30">
        <v>3</v>
      </c>
      <c r="AR11" s="16">
        <f>+AM15</f>
        <v>0</v>
      </c>
      <c r="AS11" s="102">
        <f>+D15</f>
        <v>14.567662774965994</v>
      </c>
      <c r="AT11" s="104">
        <f>+C15</f>
        <v>1.7</v>
      </c>
      <c r="AU11" s="51"/>
    </row>
    <row r="12" spans="1:46" ht="12.75">
      <c r="A12" s="94">
        <v>2</v>
      </c>
      <c r="B12" s="58">
        <v>1.3</v>
      </c>
      <c r="C12" s="59">
        <f>+B12*'IO'!$K$3+'IO'!$K$8</f>
        <v>6.95</v>
      </c>
      <c r="D12" s="60">
        <v>184.87105146325675</v>
      </c>
      <c r="E12" s="96">
        <f>+D12^2-Z12^2*J12^2*(2*32.2*(C12+C!AB12-C!H12-C!AE12-T12))</f>
        <v>4.336034180596471E-07</v>
      </c>
      <c r="F12" s="60"/>
      <c r="G12" s="60"/>
      <c r="H12" s="58">
        <f>Critical(D12,'IO'!$K$3)</f>
        <v>3.8916234783934955</v>
      </c>
      <c r="I12" s="58">
        <f>2*ACOS(1-2*H12/'IO'!$K$3)</f>
        <v>4.322286811351775</v>
      </c>
      <c r="J12" s="58">
        <f>+(1/8)*(I12-SIN(I12))*'IO'!$K$3^2</f>
        <v>16.397365696559753</v>
      </c>
      <c r="K12" s="59">
        <f>+'IO'!$P$3*C!C12+'IO'!$P$4*C!C12^2</f>
        <v>152.205</v>
      </c>
      <c r="L12" s="58">
        <f>+L11</f>
        <v>6.283185307179586</v>
      </c>
      <c r="M12" s="58">
        <f>+M11</f>
        <v>19.634954084936208</v>
      </c>
      <c r="N12" s="58">
        <f>+D12/M12</f>
        <v>9.415405335991514</v>
      </c>
      <c r="O12" s="58"/>
      <c r="P12" s="58">
        <f>0.5*I12*'IO'!$K$3</f>
        <v>10.805717028379437</v>
      </c>
      <c r="Q12" s="58">
        <f>0.5*L12*'IO'!$K$3</f>
        <v>15.707963267948966</v>
      </c>
      <c r="R12" s="59">
        <f>1.486*J12*(J12/P12)^(0.666666666666667)/'IO'!$K$4</f>
        <v>1340.6908485077968</v>
      </c>
      <c r="S12" s="58">
        <f>1.486*M12*(M12/Q12)^(0.666666666666667)/'IO'!$K$4</f>
        <v>1410.730750759389</v>
      </c>
      <c r="T12" s="58">
        <f>+D12^2*'IO'!$K$5/(C!R12*C!S12)</f>
        <v>0.5421086029185677</v>
      </c>
      <c r="U12" s="58">
        <f>1-J12/K12</f>
        <v>0.892267890696365</v>
      </c>
      <c r="V12" s="61">
        <f>IF(B12&lt;=0.4,0.93,IF(B12&gt;=1.4,0.83,VLOOKUP(B12,T!$B$28:$E$33,3)*B12+VLOOKUP(B12,T!$B$28:$E$33,4)))</f>
        <v>0.845</v>
      </c>
      <c r="W12" s="61">
        <f>IF(B12&lt;=0.4,0.881,IF(B12&gt;=1.4,0.763,VLOOKUP(B12,T!$B$117:$E$122,3)*B12+VLOOKUP(B12,T!$B$117:$E$122,4)))</f>
        <v>0.7925</v>
      </c>
      <c r="X12" s="61">
        <f>IF('IO'!$Q$16=7,W12,IF('IO'!$Q$16=3,V12*$F$3,V12*$F$3*$G$3))</f>
        <v>0.8921087499999999</v>
      </c>
      <c r="Y12" s="62">
        <f>0.98-(0.98-X12)*U12/0.8</f>
        <v>0.8819718246897913</v>
      </c>
      <c r="Z12" s="62">
        <f>IF(Y12&gt;0.98,0.98,Y12)</f>
        <v>0.8819718246897913</v>
      </c>
      <c r="AA12" s="62">
        <f>+D12/K12</f>
        <v>1.2146187803505584</v>
      </c>
      <c r="AB12" s="63">
        <f>+AA12^2/(2*32.2)</f>
        <v>0.0229083661736068</v>
      </c>
      <c r="AC12" s="58">
        <f>+'IO'!$P$3+2*C!C12*SQRT(1+'IO'!$P$4^2)</f>
        <v>39.081344887247084</v>
      </c>
      <c r="AD12" s="58">
        <f>+K12/AC12</f>
        <v>3.894569146459111</v>
      </c>
      <c r="AE12" s="64">
        <f>+D12^2*'IO'!$P$5^2*'IO'!$P$7/(1.486^2*C!K12^2*C!AD12^(4/3))</f>
        <v>0.0017445487994153137</v>
      </c>
      <c r="AG12" s="78">
        <f>+J12/P12</f>
        <v>1.5174713212917543</v>
      </c>
      <c r="AH12" s="142">
        <f>+(D12*'IO'!$K$4/(1.486*C!J12*C!AG12^(2/3)))^2</f>
        <v>0.01901430836297646</v>
      </c>
      <c r="AI12" s="77">
        <f>IF('IO'!$K$6&lt;C!AH12,1,0)</f>
        <v>1</v>
      </c>
      <c r="AJ12" s="77">
        <f>IF(H12&gt;'IO'!$P$10,1,0)</f>
        <v>1</v>
      </c>
      <c r="AL12" s="100">
        <f>+AJ12*AI12</f>
        <v>1</v>
      </c>
      <c r="AQ12" s="30">
        <v>3</v>
      </c>
      <c r="AR12" s="16">
        <f>+AM16</f>
        <v>0</v>
      </c>
      <c r="AS12" s="102">
        <f>+D16</f>
        <v>28.44814146589008</v>
      </c>
      <c r="AT12" s="104">
        <f>+C16</f>
        <v>2.95</v>
      </c>
    </row>
    <row r="13" spans="2:46" ht="12.75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 t="s">
        <v>81</v>
      </c>
      <c r="M13" s="54" t="s">
        <v>81</v>
      </c>
      <c r="N13" s="54" t="s">
        <v>81</v>
      </c>
      <c r="O13" s="54" t="s">
        <v>81</v>
      </c>
      <c r="P13" s="54"/>
      <c r="Q13" s="54"/>
      <c r="R13" s="54"/>
      <c r="S13" s="54"/>
      <c r="T13" s="54"/>
      <c r="U13" s="54"/>
      <c r="V13" s="53" t="s">
        <v>74</v>
      </c>
      <c r="W13" s="53" t="s">
        <v>59</v>
      </c>
      <c r="X13" s="54"/>
      <c r="Y13" s="54"/>
      <c r="Z13" s="54"/>
      <c r="AA13" s="54"/>
      <c r="AB13" s="54"/>
      <c r="AC13" s="54"/>
      <c r="AD13" s="54"/>
      <c r="AE13" s="54"/>
      <c r="AQ13" s="30">
        <v>3</v>
      </c>
      <c r="AR13" s="16">
        <f>+AM17</f>
        <v>0</v>
      </c>
      <c r="AS13" s="102">
        <f>+D17</f>
        <v>42.227431942725666</v>
      </c>
      <c r="AT13" s="104">
        <f>+C17</f>
        <v>5.45</v>
      </c>
    </row>
    <row r="14" spans="2:46" ht="12.75">
      <c r="B14" s="55" t="s">
        <v>71</v>
      </c>
      <c r="C14" s="55" t="s">
        <v>62</v>
      </c>
      <c r="D14" s="56" t="s">
        <v>61</v>
      </c>
      <c r="E14" s="56" t="s">
        <v>72</v>
      </c>
      <c r="F14" s="70" t="s">
        <v>97</v>
      </c>
      <c r="G14" s="70" t="s">
        <v>38</v>
      </c>
      <c r="H14" s="55" t="s">
        <v>96</v>
      </c>
      <c r="I14" s="57" t="s">
        <v>92</v>
      </c>
      <c r="J14" s="55" t="s">
        <v>93</v>
      </c>
      <c r="K14" s="55" t="s">
        <v>67</v>
      </c>
      <c r="L14" s="57" t="s">
        <v>82</v>
      </c>
      <c r="M14" s="55" t="s">
        <v>83</v>
      </c>
      <c r="N14" s="55" t="s">
        <v>84</v>
      </c>
      <c r="O14" s="55" t="s">
        <v>85</v>
      </c>
      <c r="P14" s="55" t="s">
        <v>94</v>
      </c>
      <c r="Q14" s="55" t="s">
        <v>87</v>
      </c>
      <c r="R14" s="55" t="s">
        <v>95</v>
      </c>
      <c r="S14" s="55" t="s">
        <v>89</v>
      </c>
      <c r="T14" s="55" t="s">
        <v>91</v>
      </c>
      <c r="U14" s="55" t="s">
        <v>60</v>
      </c>
      <c r="V14" s="55" t="s">
        <v>73</v>
      </c>
      <c r="W14" s="55" t="s">
        <v>73</v>
      </c>
      <c r="X14" s="55" t="s">
        <v>75</v>
      </c>
      <c r="Y14" s="55" t="s">
        <v>41</v>
      </c>
      <c r="Z14" s="55" t="s">
        <v>40</v>
      </c>
      <c r="AA14" s="55" t="s">
        <v>68</v>
      </c>
      <c r="AB14" s="55" t="s">
        <v>79</v>
      </c>
      <c r="AC14" s="55" t="s">
        <v>70</v>
      </c>
      <c r="AD14" s="55" t="s">
        <v>69</v>
      </c>
      <c r="AE14" s="55" t="s">
        <v>80</v>
      </c>
      <c r="AG14" s="70" t="s">
        <v>114</v>
      </c>
      <c r="AH14" s="70" t="s">
        <v>129</v>
      </c>
      <c r="AI14" s="70" t="s">
        <v>65</v>
      </c>
      <c r="AK14" s="98" t="s">
        <v>130</v>
      </c>
      <c r="AM14" s="99" t="s">
        <v>131</v>
      </c>
      <c r="AQ14" s="30">
        <v>3</v>
      </c>
      <c r="AR14" s="16">
        <f>+AM18</f>
        <v>0</v>
      </c>
      <c r="AS14" s="102">
        <f>+D18</f>
        <v>46.233701395935995</v>
      </c>
      <c r="AT14" s="104">
        <f>+C18</f>
        <v>6.95</v>
      </c>
    </row>
    <row r="15" spans="1:46" ht="12.75">
      <c r="A15" s="94">
        <v>3</v>
      </c>
      <c r="B15" s="58">
        <f>+(C15-'IO'!$K$8)/'IO'!$K$3</f>
        <v>0.25</v>
      </c>
      <c r="C15" s="59">
        <f>+'IO'!$K$3/4+'IO'!$K$8</f>
        <v>1.7</v>
      </c>
      <c r="D15" s="60">
        <v>14.567662774965994</v>
      </c>
      <c r="E15" s="96">
        <f>+D15^2-Z15^2*J15^2*(2*32.2*(C15+C!AB15-'IO'!$P$10-C!AE15-T15))</f>
        <v>-1.6406514191658061E-07</v>
      </c>
      <c r="F15" s="61">
        <f>IF('IO'!$K$9&lt;=0,1,IF('IO'!$K$9&gt;=0.05,1.192,VLOOKUP('IO'!$K$9,T!$B$67:$E$72,3)*'IO'!$K$9+VLOOKUP('IO'!$K$9,T!$B$67:$E$72,4)))</f>
        <v>1.05575</v>
      </c>
      <c r="G15" s="61">
        <f>IF('IO'!$K$11&lt;=0,1,IF('IO'!$K$11&gt;=1,0.9,VLOOKUP('IO'!$K$11,T!$B$90:$E$109,3)*'IO'!$K$11+VLOOKUP('IO'!$K$11,T!$B$90:$E$109,4)))</f>
        <v>0.91</v>
      </c>
      <c r="H15" s="58">
        <f>+'IO'!$P$10</f>
        <v>1</v>
      </c>
      <c r="I15" s="58">
        <f>2*ACOS(1-2*H15/'IO'!$K$3)</f>
        <v>1.8545904360032244</v>
      </c>
      <c r="J15" s="58">
        <f>+(1/8)*(I15-SIN(I15))*'IO'!$K$3^2</f>
        <v>2.795595112510076</v>
      </c>
      <c r="K15" s="59">
        <f>+'IO'!$P$3*C!C15+'IO'!$P$4*C!C15^2</f>
        <v>19.38</v>
      </c>
      <c r="L15" s="58">
        <f>2*ACOS(1-2*B15)</f>
        <v>2.0943951023931953</v>
      </c>
      <c r="M15" s="58">
        <f>(1/8)*(L15-SIN(L15))*'IO'!$K$3^2</f>
        <v>3.8386553081523638</v>
      </c>
      <c r="N15" s="58">
        <f>+D15/M15</f>
        <v>3.794991111608236</v>
      </c>
      <c r="O15" s="95"/>
      <c r="P15" s="58">
        <f>0.5*I15*'IO'!$K$3</f>
        <v>4.636476090008061</v>
      </c>
      <c r="Q15" s="58">
        <f>0.5*L15*'IO'!$K$3</f>
        <v>5.235987755982988</v>
      </c>
      <c r="R15" s="58">
        <f>1.486*J15*(J15/P15)^(2/3)/'IO'!$K$4</f>
        <v>123.53954730936243</v>
      </c>
      <c r="S15" s="58">
        <f>1.486*M15*(M15/Q15)^(2/3)/'IO'!$K$4</f>
        <v>193.2444427686451</v>
      </c>
      <c r="T15" s="58">
        <f>+D15^2*'IO'!$K$5/(C!R15*C!S15)</f>
        <v>0.266678494390689</v>
      </c>
      <c r="U15" s="58">
        <f>1-J15/K15</f>
        <v>0.8557484462069105</v>
      </c>
      <c r="V15" s="61">
        <f>IF(B15&lt;=0.4,0.93,IF(B15&gt;=1.4,0.83,VLOOKUP(B15,T!$B$28:$E$33,3)*B15+VLOOKUP(B15,T!$B$28:$E$33,4)))</f>
        <v>0.93</v>
      </c>
      <c r="W15" s="61">
        <f>IF(B15&lt;=0.4,0.881,IF(B15&gt;=1.4,0.763,VLOOKUP(B15,T!$B$117:$E$122,3)*B15+VLOOKUP(B15,T!$B$117:$E$122,4)))</f>
        <v>0.881</v>
      </c>
      <c r="X15" s="61">
        <f>IF('IO'!$Q$16=7,W15,IF('IO'!$Q$16=3,V15*$F$3,V15*$F$3*$G$3))</f>
        <v>0.9818475</v>
      </c>
      <c r="Y15" s="62">
        <f>0.98-(0.98-X15)*U15/0.8</f>
        <v>0.981976244067959</v>
      </c>
      <c r="Z15" s="62">
        <f>IF(Y15&gt;0.98,0.98,Y15)</f>
        <v>0.98</v>
      </c>
      <c r="AA15" s="62">
        <f>+D15/K15</f>
        <v>0.7516853857051596</v>
      </c>
      <c r="AB15" s="63">
        <f>+AA15^2/(2*32.2)</f>
        <v>0.008773772035445878</v>
      </c>
      <c r="AC15" s="58">
        <f>+'IO'!$P$3+2*C!C15*SQRT(1+'IO'!$P$4^2)</f>
        <v>15.602631123499286</v>
      </c>
      <c r="AD15" s="58">
        <f>+K15/AC15</f>
        <v>1.2420981978361059</v>
      </c>
      <c r="AE15" s="64">
        <f>+D15^2*'IO'!$P$5^2*'IO'!$P$7/(1.486^2*C!K15^2*C!AD15^(4/3))</f>
        <v>0.003066290765687851</v>
      </c>
      <c r="AG15" s="53">
        <f>IF('IO'!$P$10/'IO'!$K$3&lt;=1,1,0)</f>
        <v>1</v>
      </c>
      <c r="AH15" s="53">
        <f>IF('IO'!$P$10/C!AI15&gt;1,1,0)</f>
        <v>0</v>
      </c>
      <c r="AI15" s="69">
        <f>Critical(D15,'IO'!$K$3)</f>
        <v>1.0491331817760479</v>
      </c>
      <c r="AK15">
        <f>IF(H15&gt;'IO'!$K$8,1,0)</f>
        <v>1</v>
      </c>
      <c r="AM15" s="100">
        <f>+AK15*AH15*AG15</f>
        <v>0</v>
      </c>
      <c r="AQ15" s="30">
        <v>4</v>
      </c>
      <c r="AR15" s="16">
        <f>+I20</f>
        <v>0</v>
      </c>
      <c r="AS15" s="102">
        <f>+D20</f>
        <v>159.46472375581868</v>
      </c>
      <c r="AT15" s="104">
        <f>+C20</f>
        <v>2.75</v>
      </c>
    </row>
    <row r="16" spans="1:46" ht="12.75">
      <c r="A16" s="94">
        <v>3</v>
      </c>
      <c r="B16" s="58">
        <f>+(C16-'IO'!$K$8)/'IO'!$K$3</f>
        <v>0.5</v>
      </c>
      <c r="C16" s="59">
        <f>+'IO'!$K$3/2+'IO'!$K$8</f>
        <v>2.95</v>
      </c>
      <c r="D16" s="60">
        <v>28.44814146589008</v>
      </c>
      <c r="E16" s="96">
        <f>+D16^2-Z16^2*J16^2*(2*32.2*(C16+C!AB16-'IO'!$P$10-C!AE16-T16))</f>
        <v>-8.280903784907423E-08</v>
      </c>
      <c r="F16" s="60"/>
      <c r="G16" s="60"/>
      <c r="H16" s="58">
        <f>+'IO'!$P$10</f>
        <v>1</v>
      </c>
      <c r="I16" s="58">
        <f>2*ACOS(1-2*H16/'IO'!$K$3)</f>
        <v>1.8545904360032244</v>
      </c>
      <c r="J16" s="58">
        <f>+(1/8)*(I16-SIN(I16))*'IO'!$K$3^2</f>
        <v>2.795595112510076</v>
      </c>
      <c r="K16" s="59">
        <f>+'IO'!$P$3*C!C16+'IO'!$P$4*C!C16^2</f>
        <v>41.005</v>
      </c>
      <c r="L16" s="58">
        <f>2*ACOS(1-2*B16)</f>
        <v>3.141592653589793</v>
      </c>
      <c r="M16" s="58">
        <f>(1/8)*(L16-SIN(L16))*'IO'!$K$3^2</f>
        <v>9.817477042468104</v>
      </c>
      <c r="N16" s="58">
        <f>+D16/M16</f>
        <v>2.8977038950873113</v>
      </c>
      <c r="O16" s="58"/>
      <c r="P16" s="58">
        <f>0.5*I16*'IO'!$K$3</f>
        <v>4.636476090008061</v>
      </c>
      <c r="Q16" s="58">
        <f>0.5*L16*'IO'!$K$3</f>
        <v>7.853981633974483</v>
      </c>
      <c r="R16" s="58">
        <f>1.486*J16*(J16/P16)^(2/3)/'IO'!$K$4</f>
        <v>123.53954730936243</v>
      </c>
      <c r="S16" s="58">
        <f>1.486*M16*(M16/Q16)^(2/3)/'IO'!$K$4</f>
        <v>705.3653753796945</v>
      </c>
      <c r="T16" s="58">
        <f>+D16^2*'IO'!$K$5/(C!R16*C!S16)</f>
        <v>0.2786178326609833</v>
      </c>
      <c r="U16" s="58">
        <f>1-J16/K16</f>
        <v>0.9318230676134599</v>
      </c>
      <c r="V16" s="61">
        <f>IF(B16&lt;=0.4,0.93,IF(B16&gt;=1.4,0.83,VLOOKUP(B16,T!$B$28:$E$33,3)*B16+VLOOKUP(B16,T!$B$28:$E$33,4)))</f>
        <v>0.9275</v>
      </c>
      <c r="W16" s="61">
        <f>IF(B16&lt;=0.4,0.881,IF(B16&gt;=1.4,0.763,VLOOKUP(B16,T!$B$117:$E$122,3)*B16+VLOOKUP(B16,T!$B$117:$E$122,4)))</f>
        <v>0.8905000000000001</v>
      </c>
      <c r="X16" s="61">
        <f>IF('IO'!$Q$16=7,W16,IF('IO'!$Q$16=3,V16*$F$3,V16*$F$3*$G$3))</f>
        <v>0.979208125</v>
      </c>
      <c r="Y16" s="62">
        <f>0.98-(0.98-X16)*U16/0.8</f>
        <v>0.9790776407604169</v>
      </c>
      <c r="Z16" s="62">
        <f>IF(Y16&gt;0.98,0.98,Y16)</f>
        <v>0.9790776407604169</v>
      </c>
      <c r="AA16" s="62">
        <f>+D16/K16</f>
        <v>0.6937725025214018</v>
      </c>
      <c r="AB16" s="63">
        <f>+AA16^2/(2*32.2)</f>
        <v>0.007473917472900751</v>
      </c>
      <c r="AC16" s="58">
        <f>+'IO'!$P$3+2*C!C16*SQRT(1+'IO'!$P$4^2)</f>
        <v>21.19280106724876</v>
      </c>
      <c r="AD16" s="58">
        <f>+K16/AC16</f>
        <v>1.9348551364155873</v>
      </c>
      <c r="AE16" s="64">
        <f>+D16^2*'IO'!$P$5^2*'IO'!$P$7/(1.486^2*C!K16^2*C!AD16^(4/3))</f>
        <v>0.001446500504948656</v>
      </c>
      <c r="AG16" s="53">
        <f>IF('IO'!$P$10/'IO'!$K$3&lt;=1,1,0)</f>
        <v>1</v>
      </c>
      <c r="AH16" s="53">
        <f>IF('IO'!$P$10/C!AI16&gt;1,1,0)</f>
        <v>0</v>
      </c>
      <c r="AI16" s="69">
        <f>Critical(D16,'IO'!$K$3)</f>
        <v>1.4791604270931527</v>
      </c>
      <c r="AK16">
        <f>IF(H16&gt;'IO'!$K$8,1,0)</f>
        <v>1</v>
      </c>
      <c r="AM16" s="100">
        <f>+AK16*AH16*AG16</f>
        <v>0</v>
      </c>
      <c r="AQ16" s="30">
        <v>4</v>
      </c>
      <c r="AR16" s="16">
        <f>+I21</f>
        <v>0</v>
      </c>
      <c r="AS16" s="102">
        <f>+D21</f>
        <v>225.51717505555786</v>
      </c>
      <c r="AT16" s="104">
        <f>+C21</f>
        <v>4.5</v>
      </c>
    </row>
    <row r="17" spans="1:46" ht="12.75">
      <c r="A17" s="94">
        <v>3</v>
      </c>
      <c r="B17" s="58">
        <f>+(C17-'IO'!$K$8)/'IO'!$K$3</f>
        <v>1</v>
      </c>
      <c r="C17" s="59">
        <f>+'IO'!$K$3+'IO'!$K$8</f>
        <v>5.45</v>
      </c>
      <c r="D17" s="60">
        <v>42.227431942725666</v>
      </c>
      <c r="E17" s="96">
        <f>+D17^2-Z17^2*J17^2*(2*32.2*(C17+C!AB17-'IO'!$P$10-C!AE17-T17))</f>
        <v>-1.2789496395271271E-07</v>
      </c>
      <c r="F17" s="60"/>
      <c r="G17" s="60"/>
      <c r="H17" s="58">
        <f>+'IO'!$P$10</f>
        <v>1</v>
      </c>
      <c r="I17" s="58">
        <f>2*ACOS(1-2*H17/'IO'!$K$3)</f>
        <v>1.8545904360032244</v>
      </c>
      <c r="J17" s="58">
        <f>+(1/8)*(I17-SIN(I17))*'IO'!$K$3^2</f>
        <v>2.795595112510076</v>
      </c>
      <c r="K17" s="59">
        <f>+'IO'!$P$3*C!C17+'IO'!$P$4*C!C17^2</f>
        <v>103.005</v>
      </c>
      <c r="L17" s="58">
        <f>2*ACOS(1-2*B17)</f>
        <v>6.283185307179586</v>
      </c>
      <c r="M17" s="58">
        <f>(1/8)*(L17-SIN(L17))*'IO'!$K$3^2</f>
        <v>19.634954084936208</v>
      </c>
      <c r="N17" s="58">
        <f>+D17/M17</f>
        <v>2.150625448883644</v>
      </c>
      <c r="O17" s="58"/>
      <c r="P17" s="58">
        <f>0.5*I17*'IO'!$K$3</f>
        <v>4.636476090008061</v>
      </c>
      <c r="Q17" s="58">
        <f>0.5*L17*'IO'!$K$3</f>
        <v>15.707963267948966</v>
      </c>
      <c r="R17" s="58">
        <f>1.486*J17*(J17/P17)^(2/3)/'IO'!$K$4</f>
        <v>123.53954730936243</v>
      </c>
      <c r="S17" s="58">
        <f>1.486*M17*(M17/Q17)^(2/3)/'IO'!$K$4</f>
        <v>1410.730750759389</v>
      </c>
      <c r="T17" s="58">
        <f>+D17^2*'IO'!$K$5/(C!R17*C!S17)</f>
        <v>0.30694492509742016</v>
      </c>
      <c r="U17" s="58">
        <f>1-J17/K17</f>
        <v>0.9728596173728452</v>
      </c>
      <c r="V17" s="61">
        <f>IF(B17&lt;=0.4,0.93,IF(B17&gt;=1.4,0.83,VLOOKUP(B17,T!$B$28:$E$33,3)*B17+VLOOKUP(B17,T!$B$28:$E$33,4)))</f>
        <v>0.8850000000000001</v>
      </c>
      <c r="W17" s="61">
        <f>IF(B17&lt;=0.4,0.881,IF(B17&gt;=1.4,0.763,VLOOKUP(B17,T!$B$117:$E$122,3)*B17+VLOOKUP(B17,T!$B$117:$E$122,4)))</f>
        <v>0.867</v>
      </c>
      <c r="X17" s="61">
        <f>IF('IO'!$Q$16=7,W17,IF('IO'!$Q$16=3,V17*$F$3,V17*$F$3*$G$3))</f>
        <v>0.9343387500000001</v>
      </c>
      <c r="Y17" s="62">
        <f>0.98-(0.98-X17)*U17/0.8</f>
        <v>0.9244725172452929</v>
      </c>
      <c r="Z17" s="62">
        <f>IF(Y17&gt;0.98,0.98,Y17)</f>
        <v>0.9244725172452929</v>
      </c>
      <c r="AA17" s="62">
        <f>+D17/K17</f>
        <v>0.4099551666688575</v>
      </c>
      <c r="AB17" s="63">
        <f>+AA17^2/(2*32.2)</f>
        <v>0.0026096776192312226</v>
      </c>
      <c r="AC17" s="58">
        <f>+'IO'!$P$3+2*C!C17*SQRT(1+'IO'!$P$4^2)</f>
        <v>32.37314095474771</v>
      </c>
      <c r="AD17" s="58">
        <f>+K17/AC17</f>
        <v>3.181804327976205</v>
      </c>
      <c r="AE17" s="64">
        <f>+D17^2*'IO'!$P$5^2*'IO'!$P$7/(1.486^2*C!K17^2*C!AD17^(4/3))</f>
        <v>0.00026020989126454287</v>
      </c>
      <c r="AG17" s="53">
        <f>IF('IO'!$P$10/'IO'!$K$3&lt;=1,1,0)</f>
        <v>1</v>
      </c>
      <c r="AH17" s="53">
        <f>IF('IO'!$P$10/C!AI17&gt;1,1,0)</f>
        <v>0</v>
      </c>
      <c r="AI17" s="69">
        <f>Critical(D17,'IO'!$K$3)</f>
        <v>1.8145058064083384</v>
      </c>
      <c r="AK17">
        <f>IF(H17&gt;'IO'!$K$8,1,0)</f>
        <v>1</v>
      </c>
      <c r="AM17" s="100">
        <f>+AK17*AH17*AG17</f>
        <v>0</v>
      </c>
      <c r="AQ17" s="30">
        <v>4</v>
      </c>
      <c r="AR17" s="16">
        <f>+I22</f>
        <v>0</v>
      </c>
      <c r="AS17" s="102">
        <f>+D22</f>
        <v>276.20100356001365</v>
      </c>
      <c r="AT17" s="104">
        <f>+C22</f>
        <v>6.25</v>
      </c>
    </row>
    <row r="18" spans="1:46" ht="12.75">
      <c r="A18" s="94">
        <v>3</v>
      </c>
      <c r="B18" s="58">
        <v>1.3</v>
      </c>
      <c r="C18" s="59">
        <f>+B18*'IO'!$K$3+'IO'!$K$8</f>
        <v>6.95</v>
      </c>
      <c r="D18" s="60">
        <v>46.233701395935995</v>
      </c>
      <c r="E18" s="96">
        <f>+D18^2-Z18^2*J18^2*(2*32.2*(C18+C!AB18-'IO'!$P$10-C!AE18-T18))</f>
        <v>-9.855102689471096E-08</v>
      </c>
      <c r="F18" s="60"/>
      <c r="G18" s="60"/>
      <c r="H18" s="58">
        <f>+'IO'!$P$10</f>
        <v>1</v>
      </c>
      <c r="I18" s="58">
        <f>2*ACOS(1-2*H18/'IO'!$K$3)</f>
        <v>1.8545904360032244</v>
      </c>
      <c r="J18" s="58">
        <f>+(1/8)*(I18-SIN(I18))*'IO'!$K$3^2</f>
        <v>2.795595112510076</v>
      </c>
      <c r="K18" s="59">
        <f>+'IO'!$P$3*C!C18+'IO'!$P$4*C!C18^2</f>
        <v>152.205</v>
      </c>
      <c r="L18" s="58">
        <f>+L17</f>
        <v>6.283185307179586</v>
      </c>
      <c r="M18" s="58">
        <f>+M17</f>
        <v>19.634954084936208</v>
      </c>
      <c r="N18" s="58">
        <f>+D18/M18</f>
        <v>2.35466307667132</v>
      </c>
      <c r="O18" s="58"/>
      <c r="P18" s="58">
        <f>0.5*I18*'IO'!$K$3</f>
        <v>4.636476090008061</v>
      </c>
      <c r="Q18" s="58">
        <f>0.5*L18*'IO'!$K$3</f>
        <v>15.707963267948966</v>
      </c>
      <c r="R18" s="58">
        <f>1.486*J18*(J18/P18)^(2/3)/'IO'!$K$4</f>
        <v>123.53954730936243</v>
      </c>
      <c r="S18" s="58">
        <f>1.486*M18*(M18/Q18)^(2/3)/'IO'!$K$4</f>
        <v>1410.730750759389</v>
      </c>
      <c r="T18" s="58">
        <f>+D18^2*'IO'!$K$5/(C!R18*C!S18)</f>
        <v>0.3679496918291452</v>
      </c>
      <c r="U18" s="58">
        <f>1-J18/K18</f>
        <v>0.9816326985807952</v>
      </c>
      <c r="V18" s="61">
        <f>IF(B18&lt;=0.4,0.93,IF(B18&gt;=1.4,0.83,VLOOKUP(B18,T!$B$28:$E$33,3)*B18+VLOOKUP(B18,T!$B$28:$E$33,4)))</f>
        <v>0.845</v>
      </c>
      <c r="W18" s="61">
        <f>IF(B18&lt;=0.4,0.881,IF(B18&gt;=1.4,0.763,VLOOKUP(B18,T!$B$117:$E$122,3)*B18+VLOOKUP(B18,T!$B$117:$E$122,4)))</f>
        <v>0.7925</v>
      </c>
      <c r="X18" s="61">
        <f>IF('IO'!$Q$16=7,W18,IF('IO'!$Q$16=3,V18*$F$3,V18*$F$3*$G$3))</f>
        <v>0.8921087499999999</v>
      </c>
      <c r="Y18" s="62">
        <f>0.98-(0.98-X18)*U18/0.8</f>
        <v>0.8721538438510757</v>
      </c>
      <c r="Z18" s="62">
        <f>IF(Y18&gt;0.98,0.98,Y18)</f>
        <v>0.8721538438510757</v>
      </c>
      <c r="AA18" s="62">
        <f>+D18/K18</f>
        <v>0.3037594126075753</v>
      </c>
      <c r="AB18" s="63">
        <f>+AA18^2/(2*32.2)</f>
        <v>0.0014327605706164464</v>
      </c>
      <c r="AC18" s="58">
        <f>+'IO'!$P$3+2*C!C18*SQRT(1+'IO'!$P$4^2)</f>
        <v>39.081344887247084</v>
      </c>
      <c r="AD18" s="58">
        <f>+K18/AC18</f>
        <v>3.894569146459111</v>
      </c>
      <c r="AE18" s="64">
        <f>+D18^2*'IO'!$P$5^2*'IO'!$P$7/(1.486^2*C!K18^2*C!AD18^(4/3))</f>
        <v>0.00010910951546593796</v>
      </c>
      <c r="AG18" s="53">
        <f>IF('IO'!$P$10/'IO'!$K$3&lt;=1,1,0)</f>
        <v>1</v>
      </c>
      <c r="AH18" s="53">
        <f>IF('IO'!$P$10/C!AI18&gt;1,1,0)</f>
        <v>0</v>
      </c>
      <c r="AI18" s="69">
        <f>Critical(D18,'IO'!$K$3)</f>
        <v>1.9019769245106728</v>
      </c>
      <c r="AK18">
        <f>IF(H18&gt;'IO'!$K$8,1,0)</f>
        <v>1</v>
      </c>
      <c r="AM18" s="100">
        <f>+AK18*AH18*AG18</f>
        <v>0</v>
      </c>
      <c r="AQ18" s="30">
        <v>4</v>
      </c>
      <c r="AR18" s="16">
        <f>+I23</f>
        <v>0</v>
      </c>
      <c r="AS18" s="102">
        <f>+D23</f>
        <v>318.92944751163736</v>
      </c>
      <c r="AT18" s="104">
        <f>+C23</f>
        <v>8</v>
      </c>
    </row>
    <row r="19" spans="2:65" ht="12.75">
      <c r="B19" s="70" t="s">
        <v>71</v>
      </c>
      <c r="C19" s="70" t="s">
        <v>62</v>
      </c>
      <c r="D19" s="73" t="s">
        <v>61</v>
      </c>
      <c r="E19" s="55"/>
      <c r="F19" s="73"/>
      <c r="G19" s="70" t="s">
        <v>135</v>
      </c>
      <c r="H19" s="70" t="s">
        <v>115</v>
      </c>
      <c r="I19" s="99" t="s">
        <v>131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6"/>
      <c r="X19" s="66"/>
      <c r="Y19" s="66"/>
      <c r="Z19" s="66"/>
      <c r="AA19" s="66"/>
      <c r="AB19" s="66"/>
      <c r="AC19" s="66"/>
      <c r="AD19" s="66"/>
      <c r="AE19" s="66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30">
        <v>5</v>
      </c>
      <c r="AR19" s="16">
        <f>+U25</f>
        <v>0</v>
      </c>
      <c r="AS19" s="102">
        <f>+D25</f>
        <v>201.58265832376557</v>
      </c>
      <c r="AT19" s="104">
        <f>+C25</f>
        <v>7.95</v>
      </c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I19" s="5"/>
      <c r="BJ19" s="5"/>
      <c r="BK19" s="5"/>
      <c r="BL19" s="5"/>
      <c r="BM19" s="5"/>
    </row>
    <row r="20" spans="1:65" ht="12.75">
      <c r="A20" s="94">
        <v>4</v>
      </c>
      <c r="B20" s="68">
        <v>1.5</v>
      </c>
      <c r="C20" s="68">
        <f>+('IO'!$K$7-'IO'!$P$11)*0.25+'IO'!$P$11</f>
        <v>2.75</v>
      </c>
      <c r="D20" s="74">
        <f>IF('IO'!$P$10&gt;C!C20,0,$U$20*$L$21*SQRT(2*32.2*(C20-'IO'!$P$10)/(1+(29*$U$20^2*'IO'!$K$4^2*'IO'!$K$5/$R$21))))</f>
        <v>159.46472375581868</v>
      </c>
      <c r="E20" s="66"/>
      <c r="F20" s="74"/>
      <c r="G20" s="68">
        <f>IF('IO'!$P$10/'IO'!$K$3&gt;1,1,0)</f>
        <v>0</v>
      </c>
      <c r="H20" s="68">
        <f>IF('IO'!$P$10&gt;C!C20,0,1)</f>
        <v>1</v>
      </c>
      <c r="I20" s="101">
        <f>+H20*G20</f>
        <v>0</v>
      </c>
      <c r="J20" s="68"/>
      <c r="K20" s="65" t="s">
        <v>98</v>
      </c>
      <c r="L20" s="61">
        <f>IF('IO'!$K$9&lt;=0,0.84,IF('IO'!$K$9&gt;=0.12,0.98,VLOOKUP('IO'!$K$9,T!$B$157:$E$163,3)*'IO'!$K$9+VLOOKUP('IO'!$K$9,T!$B$157:$E$163,4)))</f>
        <v>0.865</v>
      </c>
      <c r="M20" s="65"/>
      <c r="N20" s="65" t="s">
        <v>38</v>
      </c>
      <c r="O20" s="61">
        <f>IF('IO'!$K$11&lt;=0,1,IF('IO'!$K$11&gt;=1,0.9,VLOOKUP('IO'!$K$11,T!$B$90:$E$109,3)*'IO'!$K$11+VLOOKUP('IO'!$K$11,T!$B$90:$E$109,4)))</f>
        <v>0.91</v>
      </c>
      <c r="P20" s="53"/>
      <c r="Q20" s="53" t="s">
        <v>99</v>
      </c>
      <c r="R20" s="53">
        <f>IF('IO'!Q16=3,C!L20,IF('IO'!Q16=6,C!L20*C!O20,0.74))</f>
        <v>0.865</v>
      </c>
      <c r="S20" s="53"/>
      <c r="T20" s="53" t="s">
        <v>6</v>
      </c>
      <c r="U20" s="53">
        <f>IF(R20&gt;0.98,0.98,R20)</f>
        <v>0.865</v>
      </c>
      <c r="V20" s="68"/>
      <c r="W20" s="66"/>
      <c r="X20" s="66"/>
      <c r="Y20" s="66"/>
      <c r="Z20" s="66"/>
      <c r="AA20" s="66"/>
      <c r="AB20" s="66"/>
      <c r="AC20" s="66"/>
      <c r="AD20" s="66"/>
      <c r="AE20" s="66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30">
        <v>5</v>
      </c>
      <c r="AR20" s="16">
        <f>+U26</f>
        <v>1</v>
      </c>
      <c r="AS20" s="102">
        <f>+D26</f>
        <v>227.4722665175227</v>
      </c>
      <c r="AT20" s="104">
        <f>+C26</f>
        <v>9.2</v>
      </c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I20" s="5"/>
      <c r="BJ20" s="5"/>
      <c r="BK20" s="5"/>
      <c r="BL20" s="5"/>
      <c r="BM20" s="5"/>
    </row>
    <row r="21" spans="1:46" ht="12.75">
      <c r="A21" s="94">
        <v>4</v>
      </c>
      <c r="B21" s="69">
        <v>1.75</v>
      </c>
      <c r="C21" s="68">
        <f>+('IO'!$K$7-'IO'!$P$11)*0.5+'IO'!$P$11</f>
        <v>4.5</v>
      </c>
      <c r="D21" s="74">
        <f>IF('IO'!$P$10&gt;C!C21,0,$U$20*$L$21*SQRT(2*32.2*(C21-'IO'!$P$10)/(1+(29*$U$20^2*'IO'!$K$4^2*'IO'!$K$5/$R$21))))</f>
        <v>225.51717505555786</v>
      </c>
      <c r="E21" s="64"/>
      <c r="F21" s="74"/>
      <c r="G21" s="68">
        <f>IF('IO'!$P$10/'IO'!$K$3&gt;1,1,0)</f>
        <v>0</v>
      </c>
      <c r="H21" s="68">
        <f>IF('IO'!$P$10&gt;C!C21,0,1)</f>
        <v>1</v>
      </c>
      <c r="I21" s="101">
        <f>+H21*G21</f>
        <v>0</v>
      </c>
      <c r="J21" s="69"/>
      <c r="K21" s="53" t="s">
        <v>104</v>
      </c>
      <c r="L21" s="69">
        <f>PI()*'IO'!$K$3^2/4</f>
        <v>19.634954084936208</v>
      </c>
      <c r="M21" s="53"/>
      <c r="N21" s="53" t="s">
        <v>100</v>
      </c>
      <c r="O21" s="69">
        <f>+PI()*'IO'!$K$3</f>
        <v>15.707963267948966</v>
      </c>
      <c r="P21" s="53"/>
      <c r="Q21" s="53" t="s">
        <v>101</v>
      </c>
      <c r="R21" s="69">
        <f>+(L21/O21)^(4/3)</f>
        <v>1.3465216812699272</v>
      </c>
      <c r="S21" s="53"/>
      <c r="T21" s="53"/>
      <c r="U21" s="53"/>
      <c r="V21" s="61"/>
      <c r="W21" s="61"/>
      <c r="X21" s="61"/>
      <c r="Y21" s="62"/>
      <c r="Z21" s="62"/>
      <c r="AA21" s="62"/>
      <c r="AB21" s="63"/>
      <c r="AC21" s="58"/>
      <c r="AD21" s="58"/>
      <c r="AE21" s="64"/>
      <c r="AQ21" s="30">
        <v>5</v>
      </c>
      <c r="AR21" s="16">
        <f>+U27</f>
        <v>1</v>
      </c>
      <c r="AS21" s="102">
        <f>+D27</f>
        <v>259.01624446434215</v>
      </c>
      <c r="AT21" s="104">
        <f>+C27</f>
        <v>10.45</v>
      </c>
    </row>
    <row r="22" spans="1:46" ht="12.75">
      <c r="A22" s="94">
        <v>4</v>
      </c>
      <c r="B22" s="69">
        <v>2</v>
      </c>
      <c r="C22" s="68">
        <f>+('IO'!$K$7-'IO'!$P$11)*0.75+'IO'!$P$11</f>
        <v>6.25</v>
      </c>
      <c r="D22" s="74">
        <f>IF('IO'!$P$10&gt;C!C22,0,$U$20*$L$21*SQRT(2*32.2*(C22-'IO'!$P$10)/(1+(29*$U$20^2*'IO'!$K$4^2*'IO'!$K$5/$R$21))))</f>
        <v>276.20100356001365</v>
      </c>
      <c r="E22" s="64"/>
      <c r="F22" s="74"/>
      <c r="G22" s="68">
        <f>IF('IO'!$P$10/'IO'!$K$3&gt;1,1,0)</f>
        <v>0</v>
      </c>
      <c r="H22" s="68">
        <f>IF('IO'!$P$10&gt;C!C22,0,1)</f>
        <v>1</v>
      </c>
      <c r="I22" s="101">
        <f>+H22*G22</f>
        <v>0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1"/>
      <c r="W22" s="61"/>
      <c r="X22" s="61"/>
      <c r="Y22" s="62"/>
      <c r="Z22" s="62"/>
      <c r="AA22" s="62"/>
      <c r="AB22" s="63"/>
      <c r="AC22" s="58"/>
      <c r="AD22" s="58"/>
      <c r="AE22" s="64"/>
      <c r="AQ22" s="30">
        <v>5</v>
      </c>
      <c r="AR22" s="16">
        <f>+U28</f>
        <v>1</v>
      </c>
      <c r="AS22" s="102">
        <f>+D28</f>
        <v>202.25348433205096</v>
      </c>
      <c r="AT22" s="104">
        <f>+C28</f>
        <v>8</v>
      </c>
    </row>
    <row r="23" spans="1:46" ht="12.75">
      <c r="A23" s="94">
        <v>4</v>
      </c>
      <c r="B23" s="58">
        <f>+(C23-'IO'!$K$8)/'IO'!$K$3</f>
        <v>1.51</v>
      </c>
      <c r="C23" s="68">
        <f>+('IO'!$K$7-'IO'!$P$11)+'IO'!$P$11</f>
        <v>8</v>
      </c>
      <c r="D23" s="74">
        <f>IF('IO'!$P$10&gt;C!C23,0,$U$20*$L$21*SQRT(2*32.2*(C23-'IO'!$P$10)/(1+(29*$U$20^2*'IO'!$K$4^2*'IO'!$K$5/$R$21))))</f>
        <v>318.92944751163736</v>
      </c>
      <c r="E23" s="64"/>
      <c r="F23" s="74"/>
      <c r="G23" s="68">
        <f>IF('IO'!$P$10/'IO'!$K$3&gt;1,1,0)</f>
        <v>0</v>
      </c>
      <c r="H23" s="68">
        <f>IF('IO'!$P$10&gt;C!C23,0,1)</f>
        <v>1</v>
      </c>
      <c r="I23" s="101">
        <f>+H23*G23</f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1"/>
      <c r="W23" s="61"/>
      <c r="X23" s="61"/>
      <c r="Y23" s="62"/>
      <c r="Z23" s="62"/>
      <c r="AA23" s="62"/>
      <c r="AB23" s="63"/>
      <c r="AC23" s="58"/>
      <c r="AD23" s="58"/>
      <c r="AE23" s="64"/>
      <c r="AQ23" s="30">
        <v>6</v>
      </c>
      <c r="AR23" s="103">
        <f>+X30</f>
        <v>0</v>
      </c>
      <c r="AS23" s="102">
        <f>+D30</f>
        <v>251.88336406837064</v>
      </c>
      <c r="AT23" s="105">
        <f>+C30</f>
        <v>7.95</v>
      </c>
    </row>
    <row r="24" spans="2:46" ht="12.75">
      <c r="B24" s="70" t="s">
        <v>71</v>
      </c>
      <c r="C24" s="70" t="s">
        <v>62</v>
      </c>
      <c r="D24" s="73" t="s">
        <v>61</v>
      </c>
      <c r="E24" s="13"/>
      <c r="F24" s="70" t="s">
        <v>136</v>
      </c>
      <c r="G24" s="140" t="s">
        <v>149</v>
      </c>
      <c r="H24" s="70" t="s">
        <v>73</v>
      </c>
      <c r="I24" s="70" t="s">
        <v>75</v>
      </c>
      <c r="J24" s="70" t="s">
        <v>40</v>
      </c>
      <c r="K24" s="70"/>
      <c r="L24" s="70" t="s">
        <v>114</v>
      </c>
      <c r="M24" s="70" t="s">
        <v>126</v>
      </c>
      <c r="N24" s="70" t="s">
        <v>127</v>
      </c>
      <c r="O24" s="70" t="s">
        <v>118</v>
      </c>
      <c r="P24" s="79" t="s">
        <v>128</v>
      </c>
      <c r="R24" s="68"/>
      <c r="S24" s="72"/>
      <c r="T24" s="72"/>
      <c r="U24" s="99" t="s">
        <v>131</v>
      </c>
      <c r="V24" s="72"/>
      <c r="AQ24" s="30">
        <v>6</v>
      </c>
      <c r="AR24" s="103">
        <f>+X31</f>
        <v>0</v>
      </c>
      <c r="AS24" s="102">
        <f>+D31</f>
        <v>289.4588370266351</v>
      </c>
      <c r="AT24" s="105">
        <f>+C31</f>
        <v>9.2</v>
      </c>
    </row>
    <row r="25" spans="1:46" ht="12.75">
      <c r="A25" s="94">
        <v>5</v>
      </c>
      <c r="B25" s="68">
        <v>1.5</v>
      </c>
      <c r="C25" s="68">
        <f>+B25*'IO'!$K$3+'IO'!$K$8</f>
        <v>7.95</v>
      </c>
      <c r="D25" s="74">
        <f>+J25*$S$27*SQRT(2*32.2*(C25-'IO'!$K$8))</f>
        <v>201.58265832376557</v>
      </c>
      <c r="F25" s="139">
        <f>MAX(D25:D28)</f>
        <v>259.01624446434215</v>
      </c>
      <c r="G25" s="139">
        <f>IF(B25&gt;1.5,1,0)</f>
        <v>0</v>
      </c>
      <c r="H25" s="61">
        <f>IF(B25&lt;1.4,T!$D$137,IF(B25&gt;5,T!$D$148,VLOOKUP(B25,T!$B$137:$E$148,3)))</f>
        <v>0.46714285714285714</v>
      </c>
      <c r="I25" s="61">
        <f>IF('IO'!$Q$16=3,H25,IF('IO'!$Q$16=6,H25*$S$26,H25*0.9))</f>
        <v>0.46714285714285714</v>
      </c>
      <c r="J25" s="61">
        <f>IF(I25&gt;0.98,0.98,I25)</f>
        <v>0.46714285714285714</v>
      </c>
      <c r="K25" s="68"/>
      <c r="L25" s="68">
        <f>IF('IO'!$P$10/'IO'!$K$3&lt;1,1,0)</f>
        <v>1</v>
      </c>
      <c r="M25" s="53">
        <f>29*'IO'!$K$4^2*(C!C25-'IO'!$K$8)/C!$R$21</f>
        <v>0.09303971985200143</v>
      </c>
      <c r="N25" s="68">
        <f>IF(M25&gt;0.275,2,IF(M25&gt;0.225,3,IF(M25&gt;0.175,4,IF(M25&gt;0.125,5,6))))</f>
        <v>6</v>
      </c>
      <c r="O25" s="90">
        <f>IF($S$25&lt;7.5,0,VLOOKUP($S$25,T!$B$172:$G$182,N25))</f>
        <v>0</v>
      </c>
      <c r="P25" s="68">
        <f>IF('IO'!$K$6&gt;C!O25,1,0)</f>
        <v>1</v>
      </c>
      <c r="R25" s="53" t="s">
        <v>55</v>
      </c>
      <c r="S25" s="80">
        <f>+'IO'!K5/'IO'!K3</f>
        <v>6</v>
      </c>
      <c r="T25" s="72"/>
      <c r="U25" s="100">
        <f>+P25*L25*G25</f>
        <v>0</v>
      </c>
      <c r="V25" s="72"/>
      <c r="AQ25" s="30">
        <v>6</v>
      </c>
      <c r="AR25" s="103">
        <f>+X32</f>
        <v>0</v>
      </c>
      <c r="AS25" s="102">
        <f>+D32</f>
        <v>321.7756249523014</v>
      </c>
      <c r="AT25" s="105">
        <f>+C32</f>
        <v>10.45</v>
      </c>
    </row>
    <row r="26" spans="1:46" ht="13.5" thickBot="1">
      <c r="A26" s="94">
        <v>5</v>
      </c>
      <c r="B26" s="69">
        <v>1.75</v>
      </c>
      <c r="C26" s="68">
        <f>+B26*'IO'!$K$3+'IO'!$K$8</f>
        <v>9.2</v>
      </c>
      <c r="D26" s="74">
        <f>+J26*$S$27*SQRT(2*32.2*(C26-'IO'!$K$8))</f>
        <v>227.4722665175227</v>
      </c>
      <c r="F26" s="139"/>
      <c r="G26" s="139">
        <f>IF(B26&gt;1.5,1,0)</f>
        <v>1</v>
      </c>
      <c r="H26" s="61">
        <f>IF(B26&lt;1.4,T!$D$137,IF(B26&gt;5,T!$D$148,VLOOKUP(B26,T!$B$137:$E$148,3)))</f>
        <v>0.48803571428571424</v>
      </c>
      <c r="I26" s="61">
        <f>IF('IO'!$Q$16=3,H26,IF('IO'!$Q$16=6,H26*$S$26,H26*0.9))</f>
        <v>0.48803571428571424</v>
      </c>
      <c r="J26" s="61">
        <f>IF(I26&gt;0.98,0.98,I26)</f>
        <v>0.48803571428571424</v>
      </c>
      <c r="K26" s="69"/>
      <c r="L26" s="68">
        <f>IF('IO'!$P$10/'IO'!$K$3&lt;1,1,0)</f>
        <v>1</v>
      </c>
      <c r="M26" s="53">
        <f>29*'IO'!$K$4^2*(C!C26-'IO'!$K$8)/C!$R$21</f>
        <v>0.10854633982733503</v>
      </c>
      <c r="N26" s="68">
        <f>IF(M26&gt;0.275,2,IF(M26&gt;0.225,3,IF(M26&gt;0.175,4,IF(M26&gt;0.125,5,6))))</f>
        <v>6</v>
      </c>
      <c r="O26" s="90">
        <f>IF($S$25&lt;7.5,0,VLOOKUP($S$25,T!$B$172:$G$182,N26))</f>
        <v>0</v>
      </c>
      <c r="P26" s="68">
        <f>IF('IO'!$K$6&gt;C!O26,1,0)</f>
        <v>1</v>
      </c>
      <c r="R26" s="65" t="s">
        <v>38</v>
      </c>
      <c r="S26" s="61">
        <f>IF('IO'!$K$11&lt;=0,1,IF('IO'!$K$11&gt;=1,0.9,VLOOKUP('IO'!$K$11,T!$B$90:$E$109,3)*'IO'!$K$11+VLOOKUP('IO'!$K$11,T!$B$90:$E$109,4)))</f>
        <v>0.91</v>
      </c>
      <c r="T26" s="72"/>
      <c r="U26" s="100">
        <f>+P26*L26*G26</f>
        <v>1</v>
      </c>
      <c r="V26" s="72"/>
      <c r="AQ26" s="29">
        <v>6</v>
      </c>
      <c r="AR26" s="106">
        <f>+X33</f>
        <v>0</v>
      </c>
      <c r="AS26" s="107">
        <f>+D33</f>
        <v>253.5269613296766</v>
      </c>
      <c r="AT26" s="108">
        <f>+C33</f>
        <v>8</v>
      </c>
    </row>
    <row r="27" spans="1:22" ht="12.75">
      <c r="A27" s="94">
        <v>5</v>
      </c>
      <c r="B27" s="69">
        <v>2</v>
      </c>
      <c r="C27" s="68">
        <f>+B27*'IO'!$K$3+'IO'!$K$8</f>
        <v>10.45</v>
      </c>
      <c r="D27" s="74">
        <f>+J27*$S$27*SQRT(2*32.2*(C27-'IO'!$K$8))</f>
        <v>259.01624446434215</v>
      </c>
      <c r="F27" s="139"/>
      <c r="G27" s="139">
        <f>IF(B27&gt;1.5,1,0)</f>
        <v>1</v>
      </c>
      <c r="H27" s="61">
        <f>IF(B27&lt;1.4,T!$D$137,IF(B27&gt;5,T!$D$148,VLOOKUP(B27,T!$B$137:$E$148,3)))</f>
        <v>0.5198214285714285</v>
      </c>
      <c r="I27" s="61">
        <f>IF('IO'!$Q$16=3,H27,IF('IO'!$Q$16=6,H27*$S$26,H27*0.9))</f>
        <v>0.5198214285714285</v>
      </c>
      <c r="J27" s="61">
        <f>IF(I27&gt;0.98,0.98,I27)</f>
        <v>0.5198214285714285</v>
      </c>
      <c r="K27" s="69"/>
      <c r="L27" s="68">
        <f>IF('IO'!$P$10/'IO'!$K$3&lt;1,1,0)</f>
        <v>1</v>
      </c>
      <c r="M27" s="53">
        <f>29*'IO'!$K$4^2*(C!C27-'IO'!$K$8)/C!$R$21</f>
        <v>0.12405295980266857</v>
      </c>
      <c r="N27" s="68">
        <f>IF(M27&gt;0.275,2,IF(M27&gt;0.225,3,IF(M27&gt;0.175,4,IF(M27&gt;0.125,5,6))))</f>
        <v>6</v>
      </c>
      <c r="O27" s="90">
        <f>IF($S$25&lt;7.5,0,VLOOKUP($S$25,T!$B$172:$G$182,N27))</f>
        <v>0</v>
      </c>
      <c r="P27" s="68">
        <f>IF('IO'!$K$6&gt;C!O27,1,0)</f>
        <v>1</v>
      </c>
      <c r="R27" s="53" t="s">
        <v>104</v>
      </c>
      <c r="S27" s="69">
        <f>PI()*'IO'!$K$3^2/4</f>
        <v>19.634954084936208</v>
      </c>
      <c r="T27" s="72"/>
      <c r="U27" s="100">
        <f>+P27*L27*G27</f>
        <v>1</v>
      </c>
      <c r="V27" s="72"/>
    </row>
    <row r="28" spans="1:22" ht="12.75">
      <c r="A28" s="94">
        <v>5</v>
      </c>
      <c r="B28" s="58">
        <f>+(C28-'IO'!$K$8)/'IO'!$K$3</f>
        <v>1.51</v>
      </c>
      <c r="C28" s="68">
        <f>+'IO'!K7</f>
        <v>8</v>
      </c>
      <c r="D28" s="74">
        <f>+J28*$S$27*SQRT(2*32.2*(C28-'IO'!$K$8))</f>
        <v>202.25348433205096</v>
      </c>
      <c r="F28" s="139"/>
      <c r="G28" s="139">
        <f>IF(B28&gt;1.5,1,0)</f>
        <v>1</v>
      </c>
      <c r="H28" s="61">
        <f>IF(B28&lt;1.4,T!$D$137,IF(B28&gt;5,T!$D$148,VLOOKUP(B28,T!$B$137:$E$148,3)))</f>
        <v>0.46714285714285714</v>
      </c>
      <c r="I28" s="61">
        <f>IF('IO'!$Q$16=3,H28,IF('IO'!$Q$16=6,H28*$S$26,H28*0.9))</f>
        <v>0.46714285714285714</v>
      </c>
      <c r="J28" s="61">
        <f>IF(I28&gt;0.98,0.98,I28)</f>
        <v>0.46714285714285714</v>
      </c>
      <c r="K28" s="69"/>
      <c r="L28" s="68">
        <f>IF('IO'!$P$10/'IO'!$K$3&lt;1,1,0)</f>
        <v>1</v>
      </c>
      <c r="M28" s="53">
        <f>29*'IO'!$K$4^2*(C!C28-'IO'!$K$8)/C!$R$21</f>
        <v>0.09365998465101479</v>
      </c>
      <c r="N28" s="68">
        <f>IF(M28&gt;0.275,2,IF(M28&gt;0.225,3,IF(M28&gt;0.175,4,IF(M28&gt;0.125,5,6))))</f>
        <v>6</v>
      </c>
      <c r="O28" s="90">
        <f>IF($S$25&lt;7.5,0,VLOOKUP($S$25,T!$B$172:$G$182,N28))</f>
        <v>0</v>
      </c>
      <c r="P28" s="68">
        <f>IF('IO'!$K$6&gt;C!O28,1,0)</f>
        <v>1</v>
      </c>
      <c r="R28" s="53"/>
      <c r="S28" s="69"/>
      <c r="T28" s="72"/>
      <c r="U28" s="100">
        <f>+P28*L28*G28</f>
        <v>1</v>
      </c>
      <c r="V28" s="72"/>
    </row>
    <row r="29" spans="2:24" ht="12.75">
      <c r="B29" s="70" t="s">
        <v>71</v>
      </c>
      <c r="C29" s="70" t="s">
        <v>62</v>
      </c>
      <c r="D29" s="56" t="s">
        <v>61</v>
      </c>
      <c r="E29" s="56" t="s">
        <v>72</v>
      </c>
      <c r="F29" s="56"/>
      <c r="G29" s="56"/>
      <c r="H29" s="70" t="s">
        <v>102</v>
      </c>
      <c r="I29" s="70" t="s">
        <v>90</v>
      </c>
      <c r="J29" s="70" t="s">
        <v>114</v>
      </c>
      <c r="K29" s="79" t="s">
        <v>132</v>
      </c>
      <c r="M29" s="68"/>
      <c r="N29" s="68"/>
      <c r="O29" s="68"/>
      <c r="P29" s="68"/>
      <c r="Q29" s="68"/>
      <c r="R29" s="68"/>
      <c r="S29" s="72"/>
      <c r="T29" s="72"/>
      <c r="U29" s="72"/>
      <c r="V29" s="72"/>
      <c r="X29" s="99" t="s">
        <v>131</v>
      </c>
    </row>
    <row r="30" spans="1:24" ht="12.75">
      <c r="A30" s="94">
        <v>6</v>
      </c>
      <c r="B30" s="68">
        <v>1.5</v>
      </c>
      <c r="C30" s="68">
        <f>+B30*'IO'!$K$3+'IO'!$K$8</f>
        <v>7.95</v>
      </c>
      <c r="D30" s="67">
        <v>251.88336406837064</v>
      </c>
      <c r="E30" s="97">
        <f>+D30^2-$V$30^2*$M$31^2*(2*32.2*(C30-H30-I30))</f>
        <v>-1.2986856745555997E-07</v>
      </c>
      <c r="F30" s="67"/>
      <c r="G30" s="67"/>
      <c r="H30" s="61">
        <f>+'IO'!$K$3*1.1435*(D30/'IO'!$K$3^(5/2))^-0.3113</f>
        <v>3.578377706439152</v>
      </c>
      <c r="I30" s="61">
        <f>+'IO'!$K$5*(D30*'IO'!$K$4/(1.486*$M$31*$V$31))^2</f>
        <v>0.9563832436911701</v>
      </c>
      <c r="J30" s="68">
        <f>IF('IO'!$P$10/'IO'!$K$3&lt;1,1,0)</f>
        <v>1</v>
      </c>
      <c r="K30" s="68">
        <f>IF('IO'!$K$6&lt;C!O25,1,0)</f>
        <v>0</v>
      </c>
      <c r="L30" s="65" t="s">
        <v>98</v>
      </c>
      <c r="M30" s="61">
        <f>IF('IO'!$K$9&lt;=0,0.84,IF('IO'!$K$9&gt;=0.12,0.98,VLOOKUP('IO'!$K$9,T!$B$157:$E$163,3)*'IO'!$K$9+VLOOKUP('IO'!$K$9,T!$B$157:$E$163,4)))</f>
        <v>0.865</v>
      </c>
      <c r="N30" s="65"/>
      <c r="O30" s="65" t="s">
        <v>38</v>
      </c>
      <c r="P30" s="61">
        <f>IF('IO'!$K$11&lt;=0,1,IF('IO'!$K$11&gt;=1,0.9,VLOOKUP('IO'!$K$11,T!$B$90:$E$109,3)*'IO'!$K$11+VLOOKUP('IO'!$K$11,T!$B$90:$E$109,4)))</f>
        <v>0.91</v>
      </c>
      <c r="Q30" s="53"/>
      <c r="R30" s="53" t="s">
        <v>99</v>
      </c>
      <c r="S30" s="69">
        <f>IF('IO'!Q16=3,C!M30,IF('IO'!Q16=6,C!M30*C!P30,0.74))</f>
        <v>0.865</v>
      </c>
      <c r="T30" s="53"/>
      <c r="U30" s="53" t="s">
        <v>6</v>
      </c>
      <c r="V30" s="69">
        <f>IF(S30&gt;0.98,0.98,S30)</f>
        <v>0.865</v>
      </c>
      <c r="X30" s="100">
        <f>+K30*J30</f>
        <v>0</v>
      </c>
    </row>
    <row r="31" spans="1:24" ht="12.75">
      <c r="A31" s="94">
        <v>6</v>
      </c>
      <c r="B31" s="69">
        <v>1.75</v>
      </c>
      <c r="C31" s="68">
        <f>+B31*'IO'!$K$3+'IO'!$K$8</f>
        <v>9.2</v>
      </c>
      <c r="D31" s="67">
        <v>289.4588370266351</v>
      </c>
      <c r="E31" s="97">
        <f>+D31^2-$V$30^2*$M$31^2*(2*32.2*(C31-H31-I31))</f>
        <v>2.478045644238591E-07</v>
      </c>
      <c r="F31" s="67"/>
      <c r="G31" s="67"/>
      <c r="H31" s="61">
        <f>+'IO'!$K$3*1.1435*(D31/'IO'!$K$3^(5/2))^-0.3113</f>
        <v>3.42679089494787</v>
      </c>
      <c r="I31" s="61">
        <f>+'IO'!$K$5*(D31*'IO'!$K$4/(1.486*$M$31*$V$31))^2</f>
        <v>1.263009491591131</v>
      </c>
      <c r="J31" s="68">
        <f>IF('IO'!$P$10/'IO'!$K$3&lt;1,1,0)</f>
        <v>1</v>
      </c>
      <c r="K31" s="68">
        <f>IF('IO'!$K$6&lt;C!O26,1,0)</f>
        <v>0</v>
      </c>
      <c r="L31" s="53" t="s">
        <v>104</v>
      </c>
      <c r="M31" s="69">
        <f>PI()*'IO'!$K$3^2/4</f>
        <v>19.634954084936208</v>
      </c>
      <c r="N31" s="53"/>
      <c r="O31" s="53" t="s">
        <v>100</v>
      </c>
      <c r="P31" s="69">
        <f>+PI()*'IO'!$K$3</f>
        <v>15.707963267948966</v>
      </c>
      <c r="Q31" s="53"/>
      <c r="R31" s="53" t="s">
        <v>101</v>
      </c>
      <c r="S31" s="69">
        <f>+(M31/P31)^(4/3)</f>
        <v>1.3465216812699272</v>
      </c>
      <c r="T31" s="53"/>
      <c r="U31" s="53" t="s">
        <v>103</v>
      </c>
      <c r="V31" s="69">
        <f>+(M31/P31)^(2/3)</f>
        <v>1.1603972084031948</v>
      </c>
      <c r="X31" s="100">
        <f>+K31*J31</f>
        <v>0</v>
      </c>
    </row>
    <row r="32" spans="1:24" ht="12.75">
      <c r="A32" s="94">
        <v>6</v>
      </c>
      <c r="B32" s="69">
        <v>2</v>
      </c>
      <c r="C32" s="68">
        <f>+B32*'IO'!$K$3+'IO'!$K$8</f>
        <v>10.45</v>
      </c>
      <c r="D32" s="67">
        <v>321.7756249523014</v>
      </c>
      <c r="E32" s="97">
        <f>+D32^2-$V$30^2*$M$31^2*(2*32.2*(C32-H32-I32))</f>
        <v>-5.730107659474015E-07</v>
      </c>
      <c r="F32" s="67"/>
      <c r="G32" s="67"/>
      <c r="H32" s="61">
        <f>+'IO'!$K$3*1.1435*(D32/'IO'!$K$3^(5/2))^-0.3113</f>
        <v>3.3157233363861707</v>
      </c>
      <c r="I32" s="61">
        <f>+'IO'!$K$5*(D32*'IO'!$K$4/(1.486*$M$31*$V$31))^2</f>
        <v>1.560771310679943</v>
      </c>
      <c r="J32" s="68">
        <f>IF('IO'!$P$10/'IO'!$K$3&lt;1,1,0)</f>
        <v>1</v>
      </c>
      <c r="K32" s="68">
        <f>IF('IO'!$K$6&lt;C!O27,1,0)</f>
        <v>0</v>
      </c>
      <c r="M32" s="69"/>
      <c r="N32" s="69"/>
      <c r="O32" s="69"/>
      <c r="P32" s="69"/>
      <c r="Q32" s="69"/>
      <c r="R32" s="69"/>
      <c r="S32" s="72"/>
      <c r="T32" s="72"/>
      <c r="U32" s="72"/>
      <c r="V32" s="72"/>
      <c r="X32" s="100">
        <f>+K32*J32</f>
        <v>0</v>
      </c>
    </row>
    <row r="33" spans="1:24" ht="12.75">
      <c r="A33" s="53">
        <v>6</v>
      </c>
      <c r="B33" s="69">
        <f>+(C33-'IO'!$K$8)/'IO'!$K$3</f>
        <v>1.51</v>
      </c>
      <c r="C33" s="53">
        <f>+'IO'!K7</f>
        <v>8</v>
      </c>
      <c r="D33" s="67">
        <v>253.5269613296766</v>
      </c>
      <c r="E33" s="97">
        <f>+D33^2-$V$30^2*$M$31^2*(2*32.2*(C33-H33-I33))</f>
        <v>6.225236575119197E-07</v>
      </c>
      <c r="F33" s="53"/>
      <c r="G33" s="53"/>
      <c r="H33" s="61">
        <f>+'IO'!$K$3*1.1435*(D33/'IO'!$K$3^(5/2))^-0.3113</f>
        <v>3.571139873737357</v>
      </c>
      <c r="I33" s="61">
        <f>+'IO'!$K$5*(D33*'IO'!$K$4/(1.486*$M$31*$V$31))^2</f>
        <v>0.9689052093286519</v>
      </c>
      <c r="J33" s="68">
        <f>IF('IO'!$P$10/'IO'!$K$3&lt;1,1,0)</f>
        <v>1</v>
      </c>
      <c r="K33" s="68">
        <f>IF('IO'!$K$6&lt;C!O28,1,0)</f>
        <v>0</v>
      </c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72"/>
      <c r="X33" s="100">
        <f>+K33*J33</f>
        <v>0</v>
      </c>
    </row>
    <row r="34" spans="1:22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72"/>
    </row>
    <row r="35" spans="2:22" ht="12.75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2:22" ht="12.7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2:22" ht="12.75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</row>
    <row r="38" spans="2:22" ht="12.75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</row>
    <row r="39" spans="2:22" ht="12.75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</row>
    <row r="51" ht="12.75">
      <c r="D51">
        <v>0</v>
      </c>
    </row>
    <row r="52" ht="12.75">
      <c r="D52">
        <v>0</v>
      </c>
    </row>
    <row r="53" ht="12.75">
      <c r="D53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Cahoon</dc:creator>
  <cp:keywords/>
  <dc:description/>
  <cp:lastModifiedBy>testuser</cp:lastModifiedBy>
  <cp:lastPrinted>2000-06-26T15:51:47Z</cp:lastPrinted>
  <dcterms:created xsi:type="dcterms:W3CDTF">1999-07-07T18:50:28Z</dcterms:created>
  <dcterms:modified xsi:type="dcterms:W3CDTF">2003-04-16T16:25:42Z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1144371684</vt:i4>
  </property>
  <property fmtid="{D5CDD505-2E9C-101B-9397-08002B2CF9AE}" pid="4" name="_EmailSubje">
    <vt:lpwstr/>
  </property>
  <property fmtid="{D5CDD505-2E9C-101B-9397-08002B2CF9AE}" pid="5" name="_AuthorEma">
    <vt:lpwstr>joelc@ce.montana.edu</vt:lpwstr>
  </property>
  <property fmtid="{D5CDD505-2E9C-101B-9397-08002B2CF9AE}" pid="6" name="_AuthorEmailDisplayNa">
    <vt:lpwstr>Cahoon, Joel</vt:lpwstr>
  </property>
</Properties>
</file>